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444e49d83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2bb2fe7446a4388"/>
    <x:sheet xmlns:r="http://schemas.openxmlformats.org/officeDocument/2006/relationships" name="Inputs" sheetId="2" r:id="R51d8a811e0354946"/>
    <x:sheet xmlns:r="http://schemas.openxmlformats.org/officeDocument/2006/relationships" name="A" sheetId="3" r:id="Rfdedd27d72584fff"/>
    <x:sheet xmlns:r="http://schemas.openxmlformats.org/officeDocument/2006/relationships" name="B" sheetId="4" r:id="Ra20f5bd894534c00"/>
    <x:sheet xmlns:r="http://schemas.openxmlformats.org/officeDocument/2006/relationships" name="C" sheetId="5" r:id="Ra4ec871c298749cf"/>
    <x:sheet xmlns:r="http://schemas.openxmlformats.org/officeDocument/2006/relationships" name="D" sheetId="6" r:id="Rcf9b47f903cb4d71"/>
    <x:sheet xmlns:r="http://schemas.openxmlformats.org/officeDocument/2006/relationships" name="E" sheetId="7" r:id="Raf80086ea2144d8d"/>
    <x:sheet xmlns:r="http://schemas.openxmlformats.org/officeDocument/2006/relationships" name="F" sheetId="8" r:id="Rca54b7f7a3cf4c2b"/>
    <x:sheet xmlns:r="http://schemas.openxmlformats.org/officeDocument/2006/relationships" name="G" sheetId="9" r:id="Rb092f428e8ed410b"/>
    <x:sheet xmlns:r="http://schemas.openxmlformats.org/officeDocument/2006/relationships" name="H" sheetId="10" r:id="R5d7c69cd9263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&quot;×&quot;"/>
    <x:numFmt numFmtId="201" formatCode="0.0%"/>
    <x:numFmt numFmtId="202" formatCode="0.00%"/>
    <x:numFmt numFmtId="203" formatCode="&quot;$&quot;#,##0;(&quot;$&quot;#,##0);&quot;$&quot;0"/>
    <x:numFmt numFmtId="204" formatCode="0.00"/>
    <x:numFmt numFmtId="205" formatCode="#,##0"/>
  </x:numFmts>
  <x:fonts count="9">
    <x:font>
      <x:sz val="11"/>
      <x:name val="Carlito"/>
    </x:font>
    <x:font>
      <x:sz val="10"/>
      <x:color rgb="FF172B3A"/>
      <x:name val="Arial"/>
    </x:font>
    <x:font>
      <x:b/>
      <x:sz val="17"/>
      <x:color rgb="FF133F50"/>
      <x:name val="Arial"/>
    </x:font>
    <x:font>
      <x:sz val="10"/>
      <x:color rgb="FF14743C"/>
      <x:name val="Arial"/>
    </x:font>
    <x:font>
      <x:sz val="10"/>
      <x:color rgb="FF1458A3"/>
      <x:name val="Arial"/>
    </x:font>
    <x:font>
      <x:b/>
      <x:sz val="10"/>
      <x:color rgb="FFFFFFFF"/>
      <x:name val="Arial"/>
    </x:font>
    <x:font>
      <x:b/>
      <x:sz val="10"/>
      <x:color rgb="FF133F50"/>
      <x:name val="Arial"/>
    </x:font>
    <x:font>
      <x:sz val="10"/>
      <x:color rgb="FF133F50"/>
      <x:name val="Arial"/>
    </x:font>
    <x:font>
      <x:b/>
      <x:sz val="10"/>
      <x:color rgb="FF172B3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33F50"/>
      </x:patternFill>
    </x:fill>
  </x:fills>
  <x:borders count="1">
    <x:border/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203" fontId="3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3" fontId="5" fillId="2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3" fontId="6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  <x:dxf>
      <x:font>
        <x:color rgb="FF7B2100"/>
      </x:font>
      <x:fill>
        <x:patternFill>
          <x:bgColor rgb="FFFBE5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60806d1f94fda" /><Relationship Type="http://schemas.openxmlformats.org/officeDocument/2006/relationships/theme" Target="/xl/theme/theme1.xml" Id="Rb827cee0a77349b5" /><Relationship Type="http://schemas.openxmlformats.org/officeDocument/2006/relationships/sharedStrings" Target="/xl/sharedStrings.xml" Id="Rd08b66870a314191" /><Relationship Type="http://schemas.openxmlformats.org/officeDocument/2006/relationships/worksheet" Target="/xl/worksheets/sheet1.xml" Id="R22bb2fe7446a4388" /><Relationship Type="http://schemas.openxmlformats.org/officeDocument/2006/relationships/worksheet" Target="/xl/worksheets/sheet2.xml" Id="R51d8a811e0354946" /><Relationship Type="http://schemas.openxmlformats.org/officeDocument/2006/relationships/worksheet" Target="/xl/worksheets/sheet3.xml" Id="Rfdedd27d72584fff" /><Relationship Type="http://schemas.openxmlformats.org/officeDocument/2006/relationships/worksheet" Target="/xl/worksheets/sheet4.xml" Id="Ra20f5bd894534c00" /><Relationship Type="http://schemas.openxmlformats.org/officeDocument/2006/relationships/worksheet" Target="/xl/worksheets/sheet5.xml" Id="Ra4ec871c298749cf" /><Relationship Type="http://schemas.openxmlformats.org/officeDocument/2006/relationships/worksheet" Target="/xl/worksheets/sheet6.xml" Id="Rcf9b47f903cb4d71" /><Relationship Type="http://schemas.openxmlformats.org/officeDocument/2006/relationships/worksheet" Target="/xl/worksheets/sheet7.xml" Id="Raf80086ea2144d8d" /><Relationship Type="http://schemas.openxmlformats.org/officeDocument/2006/relationships/worksheet" Target="/xl/worksheets/sheet8.xml" Id="Rca54b7f7a3cf4c2b" /><Relationship Type="http://schemas.openxmlformats.org/officeDocument/2006/relationships/worksheet" Target="/xl/worksheets/sheet9.xml" Id="Rb092f428e8ed410b" /><Relationship Type="http://schemas.openxmlformats.org/officeDocument/2006/relationships/worksheet" Target="/xl/worksheets/sheet10.xml" Id="R5d7c69cd92634b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Water From Energy: unified A–H budgets</x:v>
      </x:c>
      <x:c r="D2" s="2"/>
      <x:c r="E2" s="2"/>
      <x:c r="F2" s="2"/>
      <x:c r="G2" s="2"/>
      <x:c r="H2" s="2"/>
      <x:c r="I2" s="2"/>
      <x:c r="J2" s="2"/>
      <x:c r="K2" s="2"/>
    </x:row>
    <x:row r="3" ht="38" customHeight="1">
      <x:c r="A3" s="1"/>
      <x:c r="B3" s="1"/>
      <x:c r="C3" s="4" t="str">
        <x:v>Eight independent study alternatives • USD • prices checked September 9, 2026 • no spending commitments</x:v>
      </x:c>
      <x:c r="D3" s="4"/>
      <x:c r="E3" s="4"/>
      <x:c r="F3" s="4"/>
      <x:c r="G3" s="4"/>
      <x:c r="H3" s="4"/>
      <x:c r="I3" s="4"/>
      <x:c r="J3" s="4"/>
      <x:c r="K3" s="4"/>
    </x:row>
    <x:row r="4">
      <x:c r="A4" s="1"/>
      <x:c r="B4" s="1"/>
      <x:c r="C4" s="2" t="str">
        <x:v>Selected scenario</x:v>
      </x:c>
      <x:c r="D4" s="5" t="str">
        <x:f>CHOOSE(Inputs!D4,"Lower","Base","Higher")</x:f>
        <x:v>Base</x:v>
      </x:c>
      <x:c r="E4" s="2"/>
      <x:c r="F4" s="2"/>
      <x:c r="G4" s="2"/>
      <x:c r="H4" s="2"/>
      <x:c r="I4" s="2"/>
      <x:c r="J4" s="2"/>
      <x:c r="K4" s="2"/>
    </x:row>
    <x:row r="5" ht="38" customHeight="1">
      <x:c r="A5" s="1"/>
      <x:c r="B5" s="1"/>
      <x:c r="C5" s="4" t="str">
        <x:v>Change Inputs!D4 to 1 (Lower), 2 (Base) or 3 (Higher). One selected case drives all eight builds. Core scope and staff effort remain the same.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Study</x:v>
      </x:c>
      <x:c r="D7" s="9" t="str">
        <x:v>Months</x:v>
      </x:c>
      <x:c r="E7" s="9" t="str">
        <x:v>People</x:v>
      </x:c>
      <x:c r="F7" s="9" t="str">
        <x:v>Analysis</x:v>
      </x:c>
      <x:c r="G7" s="9" t="str">
        <x:v>Other direct</x:v>
      </x:c>
      <x:c r="H7" s="9" t="str">
        <x:v>Institution</x:v>
      </x:c>
      <x:c r="I7" s="9" t="str">
        <x:v>Reserve</x:v>
      </x:c>
      <x:c r="J7" s="9" t="str">
        <x:v>Total USD</x:v>
      </x:c>
      <x:c r="K7" s="9" t="str">
        <x:v>Status</x:v>
      </x:c>
    </x:row>
    <x:row r="8" ht="46" customHeight="1">
      <x:c r="A8" s="1"/>
      <x:c r="B8" s="1"/>
      <x:c r="C8" s="4" t="str">
        <x:v>A — Diagnose the cause of mineral buildup</x:v>
      </x:c>
      <x:c r="D8" s="30" t="n">
        <x:f>'A'!D4</x:f>
        <x:v>12</x:v>
      </x:c>
      <x:c r="E8" s="32" t="n">
        <x:f>'A'!I15</x:f>
        <x:v>602835.56</x:v>
      </x:c>
      <x:c r="F8" s="32" t="n">
        <x:f>'A'!I24</x:f>
        <x:v>377325</x:v>
      </x:c>
      <x:c r="G8" s="32" t="n">
        <x:f>'A'!I46</x:f>
        <x:v>215261.96344999998</x:v>
      </x:c>
      <x:c r="H8" s="32" t="n">
        <x:f>'A'!I50</x:f>
        <x:v>612953.147175</x:v>
      </x:c>
      <x:c r="I8" s="32" t="n">
        <x:f>'A'!I52</x:f>
        <x:v>271256.35059375</x:v>
      </x:c>
      <x:c r="J8" s="31" t="n">
        <x:f>'A'!I53</x:f>
        <x:v>2079632.0212187502</x:v>
      </x:c>
      <x:c r="K8" s="4" t="str">
        <x:v>Preliminary / unquoted</x:v>
      </x:c>
    </x:row>
    <x:row r="9" ht="46" customHeight="1">
      <x:c r="A9" s="1"/>
      <x:c r="B9" s="1"/>
      <x:c r="C9" s="4" t="str">
        <x:v>B — Make reuse decisions reliable</x:v>
      </x:c>
      <x:c r="D9" s="30" t="n">
        <x:f>'B'!D4</x:f>
        <x:v>12</x:v>
      </x:c>
      <x:c r="E9" s="32" t="n">
        <x:f>'B'!I15</x:f>
        <x:v>589862.0921</x:v>
      </x:c>
      <x:c r="F9" s="32" t="n">
        <x:f>'B'!I24</x:f>
        <x:v>97875</x:v>
      </x:c>
      <x:c r="G9" s="32" t="n">
        <x:f>'B'!I45</x:f>
        <x:v>156726.31</x:v>
      </x:c>
      <x:c r="H9" s="32" t="n">
        <x:f>'B'!I49</x:f>
        <x:v>436465.6819155001</x:v>
      </x:c>
      <x:c r="I9" s="32" t="n">
        <x:f>'B'!I51</x:f>
        <x:v>192139.36260232504</x:v>
      </x:c>
      <x:c r="J9" s="31" t="n">
        <x:f>'B'!I52</x:f>
        <x:v>1473068.4466178254</x:v>
      </x:c>
      <x:c r="K9" s="4" t="str">
        <x:v>Preliminary / unquoted</x:v>
      </x:c>
    </x:row>
    <x:row r="10" ht="46" customHeight="1">
      <x:c r="A10" s="1"/>
      <x:c r="B10" s="1"/>
      <x:c r="C10" s="4" t="str">
        <x:v>C — Find when recovered heat earns its place</x:v>
      </x:c>
      <x:c r="D10" s="30" t="n">
        <x:f>'C'!D4</x:f>
        <x:v>18</x:v>
      </x:c>
      <x:c r="E10" s="32" t="n">
        <x:f>'C'!I15</x:f>
        <x:v>980266.6969320001</x:v>
      </x:c>
      <x:c r="F10" s="32" t="n">
        <x:f>'C'!I24</x:f>
        <x:v>274950</x:v>
      </x:c>
      <x:c r="G10" s="32" t="n">
        <x:f>'C'!I47</x:f>
        <x:v>310658.875</x:v>
      </x:c>
      <x:c r="H10" s="32" t="n">
        <x:f>'C'!I51</x:f>
        <x:v>770493.7332972601</x:v>
      </x:c>
      <x:c r="I10" s="32" t="n">
        <x:f>'C'!I53</x:f>
        <x:v>350455.395784389</x:v>
      </x:c>
      <x:c r="J10" s="31" t="n">
        <x:f>'C'!I54</x:f>
        <x:v>2686824.701013649</x:v>
      </x:c>
      <x:c r="K10" s="4" t="str">
        <x:v>Preliminary / unquoted</x:v>
      </x:c>
    </x:row>
    <x:row r="11" ht="46" customHeight="1">
      <x:c r="A11" s="1"/>
      <x:c r="B11" s="1"/>
      <x:c r="C11" s="4" t="str">
        <x:v>D — Choose a useful recovery service</x:v>
      </x:c>
      <x:c r="D11" s="30" t="n">
        <x:f>'D'!D4</x:f>
        <x:v>18</x:v>
      </x:c>
      <x:c r="E11" s="32" t="n">
        <x:f>'D'!I15</x:f>
        <x:v>980266.6969320001</x:v>
      </x:c>
      <x:c r="F11" s="32" t="n">
        <x:f>'D'!I24</x:f>
        <x:v>593100</x:v>
      </x:c>
      <x:c r="G11" s="32" t="n">
        <x:f>'D'!I48</x:f>
        <x:v>298365.36345</x:v>
      </x:c>
      <x:c r="H11" s="32" t="n">
        <x:f>'D'!I52</x:f>
        <x:v>968978.0364222602</x:v>
      </x:c>
      <x:c r="I11" s="32" t="n">
        <x:f>'D'!I54</x:f>
        <x:v>426106.51452063903</x:v>
      </x:c>
      <x:c r="J11" s="31" t="n">
        <x:f>'D'!I55</x:f>
        <x:v>3266816.6113248994</x:v>
      </x:c>
      <x:c r="K11" s="4" t="str">
        <x:v>Preliminary / unquoted</x:v>
      </x:c>
    </x:row>
    <x:row r="12" ht="46" customHeight="1">
      <x:c r="A12" s="1"/>
      <x:c r="B12" s="1"/>
      <x:c r="C12" s="4" t="str">
        <x:v>E — Control the water cost of mineral washing</x:v>
      </x:c>
      <x:c r="D12" s="30" t="n">
        <x:f>'E'!D4</x:f>
        <x:v>12</x:v>
      </x:c>
      <x:c r="E12" s="32" t="n">
        <x:f>'E'!I15</x:f>
        <x:v>560659.6724</x:v>
      </x:c>
      <x:c r="F12" s="32" t="n">
        <x:f>'E'!I24</x:f>
        <x:v>753075</x:v>
      </x:c>
      <x:c r="G12" s="32" t="n">
        <x:f>'E'!I45</x:f>
        <x:v>188762.9932</x:v>
      </x:c>
      <x:c r="H12" s="32" t="n">
        <x:f>'E'!I49</x:f>
        <x:v>786446.38646325</x:v>
      </x:c>
      <x:c r="I12" s="32" t="n">
        <x:f>'E'!I51</x:f>
        <x:v>343341.6078094875</x:v>
      </x:c>
      <x:c r="J12" s="31" t="n">
        <x:f>'E'!I52</x:f>
        <x:v>2632285.6598727377</x:v>
      </x:c>
      <x:c r="K12" s="4" t="str">
        <x:v>Preliminary / unquoted</x:v>
      </x:c>
    </x:row>
    <x:row r="13" ht="46" customHeight="1">
      <x:c r="A13" s="1"/>
      <x:c r="B13" s="1"/>
      <x:c r="C13" s="4" t="str">
        <x:v>F — Protect delivered water during faults</x:v>
      </x:c>
      <x:c r="D13" s="30" t="n">
        <x:f>'F'!D4</x:f>
        <x:v>12</x:v>
      </x:c>
      <x:c r="E13" s="32" t="n">
        <x:f>'F'!I15</x:f>
        <x:v>602835.56</x:v>
      </x:c>
      <x:c r="F13" s="32" t="n">
        <x:f>'F'!I24</x:f>
        <x:v>256275</x:v>
      </x:c>
      <x:c r="G13" s="32" t="n">
        <x:f>'F'!I46</x:f>
        <x:v>204923.17345</x:v>
      </x:c>
      <x:c r="H13" s="32" t="n">
        <x:f>'F'!I50</x:f>
        <x:v>534878.5277250002</x:v>
      </x:c>
      <x:c r="I13" s="32" t="n">
        <x:f>'F'!I52</x:f>
        <x:v>239836.83917625004</x:v>
      </x:c>
      <x:c r="J13" s="31" t="n">
        <x:f>'F'!I53</x:f>
        <x:v>1838749.1003512503</x:v>
      </x:c>
      <x:c r="K13" s="4" t="str">
        <x:v>Preliminary / unquoted</x:v>
      </x:c>
    </x:row>
    <x:row r="14" ht="46" customHeight="1">
      <x:c r="A14" s="1"/>
      <x:c r="B14" s="1"/>
      <x:c r="C14" s="4" t="str">
        <x:v>G — Test the full cooling and water balance</x:v>
      </x:c>
      <x:c r="D14" s="30" t="n">
        <x:f>'G'!D4</x:f>
        <x:v>15</x:v>
      </x:c>
      <x:c r="E14" s="32" t="n">
        <x:f>'G'!I15</x:f>
        <x:v>756723.1807</x:v>
      </x:c>
      <x:c r="F14" s="32" t="n">
        <x:f>'G'!I24</x:f>
        <x:v>97875</x:v>
      </x:c>
      <x:c r="G14" s="32" t="n">
        <x:f>'G'!I49</x:f>
        <x:v>281274.619</x:v>
      </x:c>
      <x:c r="H14" s="32" t="n">
        <x:f>'G'!I53</x:f>
        <x:v>531842.1947085002</x:v>
      </x:c>
      <x:c r="I14" s="32" t="n">
        <x:f>'G'!I55</x:f>
        <x:v>250157.24916127505</x:v>
      </x:c>
      <x:c r="J14" s="31" t="n">
        <x:f>'G'!I56</x:f>
        <x:v>1917872.2435697755</x:v>
      </x:c>
      <x:c r="K14" s="4" t="str">
        <x:v>Preliminary / unquoted</x:v>
      </x:c>
    </x:row>
    <x:row r="15" ht="46" customHeight="1">
      <x:c r="A15" s="1"/>
      <x:c r="B15" s="1"/>
      <x:c r="C15" s="4" t="str">
        <x:v>H — Collect water when heat and cooling are limited</x:v>
      </x:c>
      <x:c r="D15" s="30" t="n">
        <x:f>'H'!D4</x:f>
        <x:v>18</x:v>
      </x:c>
      <x:c r="E15" s="32" t="n">
        <x:f>'H'!I15</x:f>
        <x:v>857240.88438</x:v>
      </x:c>
      <x:c r="F15" s="32" t="n">
        <x:f>'H'!I24</x:f>
        <x:v>79625</x:v>
      </x:c>
      <x:c r="G15" s="32" t="n">
        <x:f>'H'!I53</x:f>
        <x:v>266459.4385</x:v>
      </x:c>
      <x:c r="H15" s="32" t="n">
        <x:f>'H'!I57</x:f>
        <x:v>592470.6295733999</x:v>
      </x:c>
      <x:c r="I15" s="32" t="n">
        <x:f>'H'!I59</x:f>
        <x:v>269369.39286801</x:v>
      </x:c>
      <x:c r="J15" s="31" t="n">
        <x:f>'H'!I60</x:f>
        <x:v>2065165.3453214099</x:v>
      </x:c>
      <x:c r="K15" s="4" t="str">
        <x:v>Preliminary / unquoted</x:v>
      </x:c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>
      <x:c r="A17" s="1"/>
      <x:c r="B17" s="1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38" customHeight="1">
      <x:c r="A18" s="1"/>
      <x:c r="B18" s="1"/>
      <x:c r="C18" s="4" t="str">
        <x:v>No combined portfolio total: these are alternatives. Shared staff, founder time and equipment must be reconciled before funding more than one. All eight use the shared Inputs rates and cost rules.</x:v>
      </x:c>
      <x:c r="D18" s="4"/>
      <x:c r="E18" s="4"/>
      <x:c r="F18" s="4"/>
      <x:c r="G18" s="4"/>
      <x:c r="H18" s="4"/>
      <x:c r="I18" s="4"/>
      <x:c r="J18" s="4"/>
      <x:c r="K18" s="4"/>
    </x:row>
    <x:row r="19">
      <x:c r="A19" s="1"/>
      <x:c r="B19" s="1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8" customHeight="1">
      <x:c r="A20" s="1"/>
      <x:c r="B20" s="1"/>
      <x:c r="C20" s="4" t="str">
        <x:v>Included: planned scientists and technician, founder coordination, additional analytical QC, apparatus, consumables, waste, independent review, institutional burden and risk reserve.</x:v>
      </x:c>
      <x:c r="D20" s="4"/>
      <x:c r="E20" s="4"/>
      <x:c r="F20" s="4"/>
      <x:c r="G20" s="4"/>
      <x:c r="H20" s="4"/>
      <x:c r="I20" s="4"/>
      <x:c r="J20" s="4"/>
      <x:c r="K20" s="4"/>
    </x:row>
    <x:row r="21">
      <x:c r="A21" s="1"/>
      <x:c r="B21" s="1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38" customHeight="1">
      <x:c r="A22" s="1"/>
      <x:c r="B22" s="1"/>
      <x:c r="C22" s="4" t="str">
        <x:v>No host, feed source or field site is secured. Custom hardware and analytical methods require qualification. The university cost structure is illustrative; it does not represent a UW partnership or proposal approval.</x:v>
      </x:c>
      <x:c r="D22" s="4"/>
      <x:c r="E22" s="4"/>
      <x:c r="F22" s="4"/>
      <x:c r="G22" s="4"/>
      <x:c r="H22" s="4"/>
      <x:c r="I22" s="4"/>
      <x:c r="J22" s="4"/>
      <x:c r="K22" s="4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8" customHeight="1">
      <x:c r="A24" s="1"/>
      <x:c r="B24" s="1"/>
      <x:c r="C24" s="4" t="str">
        <x:v>Published prices are price anchors, not system-performance guarantees. Project allowances fill unquoted costs openly; do not treat the dollar precision as certainty. No grants, mineral sales or in-kind discounts reduce these totals.</x:v>
      </x:c>
      <x:c r="D24" s="4"/>
      <x:c r="E24" s="4"/>
      <x:c r="F24" s="4"/>
      <x:c r="G24" s="4"/>
      <x:c r="H24" s="4"/>
      <x:c r="I24" s="4"/>
      <x:c r="J24" s="4"/>
      <x:c r="K24" s="4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8" customHeight="1">
      <x:c r="A26" s="1"/>
      <x:c r="B26" s="1"/>
      <x:c r="C26" s="4" t="str">
        <x:v>Funded months: A/B/E/F 12; C/D/H 18; G 15. No reactor connection, operating plant construction, potable certification or indefinite extension is included. Timelines begin when access and staff are ready.</x:v>
      </x:c>
      <x:c r="D26" s="4"/>
      <x:c r="E26" s="4"/>
      <x:c r="F26" s="4"/>
      <x:c r="G26" s="4"/>
      <x:c r="H26" s="4"/>
      <x:c r="I26" s="4"/>
      <x:c r="J26" s="4"/>
      <x:c r="K26" s="4"/>
    </x:row>
    <x:row r="27">
      <x:c r="A27" s="1"/>
      <x:c r="B27" s="1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38" customHeight="1">
      <x:c r="A28" s="1"/>
      <x:c r="B28" s="1"/>
      <x:c r="C28" s="4" t="str">
        <x:v>Sources, dates and shared rate assumptions are on Inputs. Each study sheet shows its staffing, analysis, apparatus and other costs.</x:v>
      </x:c>
      <x:c r="D28" s="4"/>
      <x:c r="E28" s="4"/>
      <x:c r="F28" s="4"/>
      <x:c r="G28" s="4"/>
      <x:c r="H28" s="4"/>
      <x:c r="I28" s="4"/>
      <x:c r="J28" s="4"/>
      <x:c r="K28" s="4"/>
    </x:row>
    <x:row r="29">
      <x:c r="A29" s="1"/>
      <x:c r="B29" s="1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38" customHeight="1">
      <x:c r="A30" s="1"/>
      <x:c r="B30" s="1"/>
      <x:c r="C30" s="4" t="str">
        <x:v>Before a funder submission: select one study; confirm host and appointments; qualify equipment and assay methods; obtain quotes; reconcile taxes, indirects and reserve eligibility. Host and funder approval is required before spending.</x:v>
      </x:c>
      <x:c r="D30" s="4"/>
      <x:c r="E30" s="4"/>
      <x:c r="F30" s="4"/>
      <x:c r="G30" s="4"/>
      <x:c r="H30" s="4"/>
      <x:c r="I30" s="4"/>
      <x:c r="J30" s="4"/>
      <x:c r="K30" s="4"/>
    </x:row>
    <x:row r="31">
      <x:c r="A31" s="1"/>
      <x:c r="B31" s="1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1"/>
      <x:c r="B32" s="1"/>
      <x:c r="C32" s="2"/>
      <x:c r="D32" s="2"/>
      <x:c r="E32" s="2"/>
      <x:c r="F32" s="2"/>
      <x:c r="G32" s="2"/>
      <x:c r="H32" s="2"/>
      <x:c r="I32" s="2"/>
      <x:c r="J32" s="2"/>
      <x:c r="K32" s="2"/>
    </x:row>
    <x:row r="33">
      <x:c r="A33" s="1"/>
      <x:c r="B33" s="1"/>
      <x:c r="C33" s="2"/>
      <x:c r="D33" s="2"/>
      <x:c r="E33" s="2"/>
      <x:c r="F33" s="2"/>
      <x:c r="G33" s="2"/>
      <x:c r="H33" s="2"/>
      <x:c r="I33" s="2"/>
      <x:c r="J33" s="2"/>
      <x:c r="K33" s="2"/>
    </x:row>
    <x:row r="34">
      <x:c r="A34" s="1"/>
      <x:c r="B34" s="1"/>
      <x:c r="C34" s="2"/>
      <x:c r="D34" s="2"/>
      <x:c r="E34" s="2"/>
      <x:c r="F34" s="2"/>
      <x:c r="G34" s="2"/>
      <x:c r="H34" s="2"/>
      <x:c r="I34" s="2"/>
      <x:c r="J34" s="2"/>
      <x:c r="K34" s="2"/>
    </x:row>
    <x:row r="35">
      <x:c r="A35" s="1"/>
      <x:c r="B35" s="1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32" customHeight="1">
      <x:c r="A36" s="1"/>
      <x:c r="B36" s="1"/>
      <x:c r="C36" s="33" t="str">
        <x:v>RESEARCH REQUIREMENTS AND COST ASSUMPTIONS</x:v>
      </x:c>
      <x:c r="D36" s="4"/>
      <x:c r="E36" s="4"/>
      <x:c r="F36" s="4"/>
      <x:c r="G36" s="4"/>
      <x:c r="H36" s="4"/>
      <x:c r="I36" s="4"/>
      <x:c r="J36" s="4"/>
      <x:c r="K36" s="4"/>
    </x:row>
    <x:row r="37" ht="46" customHeight="1">
      <x:c r="A37" s="1"/>
      <x:c r="B37" s="1"/>
      <x:c r="C37" s="4" t="str">
        <x:v>All eight studies use shared rates and rules. Questions, comparisons and assay allocations follow the A–H research program. No novelty or result is presumed.</x:v>
      </x:c>
      <x:c r="D37" s="4"/>
      <x:c r="E37" s="4"/>
      <x:c r="F37" s="4"/>
      <x:c r="G37" s="4"/>
      <x:c r="H37" s="4"/>
      <x:c r="I37" s="4"/>
      <x:c r="J37" s="4"/>
      <x:c r="K37" s="4"/>
    </x:row>
    <x:row r="38" ht="46" customHeight="1">
      <x:c r="A38" s="1"/>
      <x:c r="B38" s="1"/>
      <x:c r="C38" s="4" t="str">
        <x:v>Run counts and conditional assay capacity are preliminary design ceilings. Confirm analytical methods, statistical precision and itemized quotes before confirmation; additional scope requires explicit costing.</x:v>
      </x:c>
      <x:c r="D38" s="4"/>
      <x:c r="E38" s="4"/>
      <x:c r="F38" s="4"/>
      <x:c r="G38" s="4"/>
      <x:c r="H38" s="4"/>
      <x:c r="I38" s="4"/>
      <x:c r="J38" s="4"/>
      <x:c r="K38" s="4"/>
    </x:row>
    <x:row r="39" ht="46" customHeight="1">
      <x:c r="A39" s="1"/>
      <x:c r="B39" s="1"/>
      <x:c r="C39" s="4" t="str">
        <x:v>Daniel’s annual gross planning input is $135,200. No mineral sales, speculative avoided costs or reused-equipment discounts reduce these estimates.</x:v>
      </x:c>
      <x:c r="D39" s="4"/>
      <x:c r="E39" s="4"/>
      <x:c r="F39" s="4"/>
      <x:c r="G39" s="4"/>
      <x:c r="H39" s="4"/>
      <x:c r="I39" s="4"/>
      <x:c r="J39" s="4"/>
      <x:c r="K39" s="4"/>
    </x:row>
    <x:row r="40" ht="46" customHeight="1">
      <x:c r="A40" s="1"/>
      <x:c r="B40" s="1"/>
      <x:c r="C40" s="4" t="str">
        <x:v>Research applications and source-reading limits: https://waterfromenergy.com/research-review.html#budget-application</x:v>
      </x:c>
      <x:c r="D40" s="4"/>
      <x:c r="E40" s="4"/>
      <x:c r="F40" s="4"/>
      <x:c r="G40" s="4"/>
      <x:c r="H40" s="4"/>
      <x:c r="I40" s="4"/>
      <x:c r="J40" s="4"/>
      <x:c r="K40" s="4"/>
    </x:row>
    <x:row r="41">
      <x:c r="A41" s="1"/>
      <x:c r="B41" s="1"/>
      <x:c r="C41" s="2"/>
      <x:c r="D41" s="2"/>
      <x:c r="E41" s="2"/>
      <x:c r="F41" s="2"/>
      <x:c r="G41" s="2"/>
      <x:c r="H41" s="2"/>
      <x:c r="I41" s="2"/>
      <x:c r="J41" s="2"/>
      <x:c r="K41" s="2"/>
    </x:row>
    <x:row r="42">
      <x:c r="A42" s="1"/>
      <x:c r="B42" s="1"/>
      <x:c r="C42" s="2"/>
      <x:c r="D42" s="2"/>
      <x:c r="E42" s="2"/>
      <x:c r="F42" s="2"/>
      <x:c r="G42" s="2"/>
      <x:c r="H42" s="2"/>
      <x:c r="I42" s="2"/>
      <x:c r="J42" s="2"/>
      <x:c r="K42" s="2"/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32" customHeight="1">
      <x:c r="A44" s="1"/>
      <x:c r="B44" s="1"/>
      <x:c r="C44"/>
      <x:c r="D44"/>
      <x:c r="E44"/>
      <x:c r="F44"/>
      <x:c r="G44"/>
      <x:c r="H44"/>
      <x:c r="I44"/>
      <x:c r="J44"/>
      <x:c r="K44"/>
    </x:row>
    <x:row r="45" ht="42" customHeight="1">
      <x:c r="A45" s="1"/>
      <x:c r="B45" s="1"/>
      <x:c r="C45"/>
      <x:c r="D45"/>
      <x:c r="E45"/>
      <x:c r="F45"/>
      <x:c r="G45"/>
      <x:c r="H45"/>
      <x:c r="I45"/>
      <x:c r="J45"/>
      <x:c r="K45"/>
    </x:row>
    <x:row r="46" ht="42" customHeight="1">
      <x:c r="A46" s="1"/>
      <x:c r="B46" s="1"/>
      <x:c r="C46"/>
      <x:c r="D46"/>
      <x:c r="E46"/>
      <x:c r="F46"/>
      <x:c r="G46"/>
      <x:c r="H46"/>
      <x:c r="I46"/>
      <x:c r="J46"/>
      <x:c r="K46"/>
    </x:row>
    <x:row r="47" ht="42" customHeight="1">
      <x:c r="A47" s="1"/>
      <x:c r="B47" s="1"/>
      <x:c r="C47"/>
      <x:c r="D47"/>
      <x:c r="E47"/>
      <x:c r="F47"/>
      <x:c r="G47"/>
      <x:c r="H47"/>
      <x:c r="I47"/>
      <x:c r="J47"/>
      <x:c r="K47"/>
    </x:row>
    <x:row r="48" ht="42" customHeight="1">
      <x:c r="A48" s="1"/>
      <x:c r="B48" s="1"/>
      <x:c r="C48"/>
      <x:c r="D48"/>
      <x:c r="E48"/>
      <x:c r="F48"/>
      <x:c r="G48"/>
      <x:c r="H48"/>
      <x:c r="I48"/>
      <x:c r="J48"/>
      <x:c r="K48"/>
    </x:row>
    <x:row r="49" ht="42" customHeight="1">
      <x:c r="A49" s="1"/>
      <x:c r="B49" s="1"/>
      <x:c r="C49"/>
      <x:c r="D49"/>
      <x:c r="E49"/>
      <x:c r="F49"/>
      <x:c r="G49"/>
      <x:c r="H49"/>
      <x:c r="I49"/>
      <x:c r="J49"/>
      <x:c r="K49"/>
    </x:row>
    <x:row r="50" ht="42" customHeight="1">
      <x:c r="A50" s="1"/>
      <x:c r="B50" s="1"/>
      <x:c r="C50"/>
      <x:c r="D50"/>
      <x:c r="E50"/>
      <x:c r="F50"/>
      <x:c r="G50"/>
      <x:c r="H50"/>
      <x:c r="I50"/>
      <x:c r="J50"/>
      <x:c r="K50"/>
    </x:row>
    <x:row r="51" ht="42" customHeight="1">
      <x:c r="A51" s="1"/>
      <x:c r="B51" s="1"/>
      <x:c r="C51"/>
      <x:c r="D51"/>
      <x:c r="E51"/>
      <x:c r="F51"/>
      <x:c r="G51"/>
      <x:c r="H51"/>
      <x:c r="I51"/>
      <x:c r="J51"/>
      <x:c r="K51"/>
    </x:row>
    <x:row r="52" ht="42" customHeight="1">
      <x:c r="A52" s="1"/>
      <x:c r="B52" s="1"/>
      <x:c r="C52"/>
      <x:c r="D52"/>
      <x:c r="E52"/>
      <x:c r="F52"/>
      <x:c r="G52"/>
      <x:c r="H52"/>
      <x:c r="I52"/>
      <x:c r="J52"/>
      <x:c r="K52"/>
    </x:row>
    <x:row r="53">
      <x:c r="A53" s="1"/>
      <x:c r="B53" s="1"/>
      <x:c r="C53"/>
      <x:c r="D53"/>
      <x:c r="E53"/>
      <x:c r="F53"/>
      <x:c r="G53"/>
      <x:c r="H53"/>
      <x:c r="I53"/>
      <x:c r="J53"/>
      <x:c r="K53"/>
    </x:row>
    <x:row r="54" ht="38" customHeight="1">
      <x:c r="A54" s="1"/>
      <x:c r="B54" s="1"/>
      <x:c r="C54"/>
      <x:c r="D54"/>
      <x:c r="E54"/>
      <x:c r="F54"/>
      <x:c r="G54"/>
      <x:c r="H54"/>
      <x:c r="I54"/>
      <x:c r="J54"/>
      <x:c r="K54"/>
    </x:row>
    <x:row r="55">
      <x:c r="A55" s="1"/>
      <x:c r="B55" s="1"/>
      <x:c r="C55"/>
      <x:c r="D55"/>
      <x:c r="E55"/>
      <x:c r="F55"/>
      <x:c r="G55"/>
      <x:c r="H55"/>
      <x:c r="I55"/>
      <x:c r="J55"/>
      <x:c r="K55"/>
    </x:row>
    <x:row r="56" ht="38" customHeight="1">
      <x:c r="A56" s="1"/>
      <x:c r="B56" s="1"/>
      <x:c r="C56"/>
      <x:c r="D56"/>
      <x:c r="E56"/>
      <x:c r="F56"/>
      <x:c r="G56"/>
      <x:c r="H56"/>
      <x:c r="I56"/>
      <x:c r="J56"/>
      <x:c r="K56"/>
    </x:row>
    <x:row r="57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</x:row>
    <x:row r="58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</x:row>
    <x:row r="59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</x:row>
    <x:row r="60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</x:row>
    <x:row r="61">
      <x:c r="A61" s="1"/>
      <x:c r="B61" s="1"/>
      <x:c r="C61" s="2"/>
      <x:c r="D61" s="2"/>
      <x:c r="E61" s="2"/>
      <x:c r="F61" s="2"/>
      <x:c r="G61" s="2"/>
      <x:c r="H61" s="2"/>
      <x:c r="I61" s="2"/>
      <x:c r="J61" s="2"/>
      <x:c r="K61" s="2"/>
    </x:row>
    <x:row r="62">
      <x:c r="A62" s="1"/>
      <x:c r="B62" s="1"/>
      <x:c r="C62" s="2"/>
      <x:c r="D62" s="2"/>
      <x:c r="E62" s="2"/>
      <x:c r="F62" s="2"/>
      <x:c r="G62" s="2"/>
      <x:c r="H62" s="2"/>
      <x:c r="I62" s="2"/>
      <x:c r="J62" s="2"/>
      <x:c r="K62" s="2"/>
    </x:row>
    <x:row r="63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</x:row>
    <x:row r="64">
      <x:c r="A64" s="1"/>
      <x:c r="B64" s="1"/>
      <x:c r="C64" s="2"/>
      <x:c r="D64" s="2"/>
      <x:c r="E64" s="2"/>
      <x:c r="F64" s="2"/>
      <x:c r="G64" s="2"/>
      <x:c r="H64" s="2"/>
      <x:c r="I64" s="2"/>
      <x:c r="J64" s="2"/>
      <x:c r="K64" s="2"/>
    </x:row>
    <x:row r="65">
      <x:c r="A65" s="1"/>
      <x:c r="B65" s="1"/>
      <x:c r="C65" s="2"/>
      <x:c r="D65" s="2"/>
      <x:c r="E65" s="2"/>
      <x:c r="F65" s="2"/>
      <x:c r="G65" s="2"/>
      <x:c r="H65" s="2"/>
      <x:c r="I65" s="2"/>
      <x:c r="J65" s="2"/>
      <x:c r="K65" s="2"/>
    </x:row>
    <x:row r="66">
      <x:c r="A66" s="1"/>
      <x:c r="B66" s="1"/>
      <x:c r="C66" s="2"/>
      <x:c r="D66" s="2"/>
      <x:c r="E66" s="2"/>
      <x:c r="F66" s="2"/>
      <x:c r="G66" s="2"/>
      <x:c r="H66" s="2"/>
      <x:c r="I66" s="2"/>
      <x:c r="J66" s="2"/>
      <x:c r="K66" s="2"/>
    </x:row>
    <x:row r="67">
      <x:c r="A67" s="1"/>
      <x:c r="B67" s="1"/>
      <x:c r="C67" s="2"/>
      <x:c r="D67" s="2"/>
      <x:c r="E67" s="2"/>
      <x:c r="F67" s="2"/>
      <x:c r="G67" s="2"/>
      <x:c r="H67" s="2"/>
      <x:c r="I67" s="2"/>
      <x:c r="J67" s="2"/>
      <x:c r="K67" s="2"/>
    </x:row>
    <x:row r="68">
      <x:c r="A68" s="1"/>
      <x:c r="B68" s="1"/>
      <x:c r="C68" s="2"/>
      <x:c r="D68" s="2"/>
      <x:c r="E68" s="2"/>
      <x:c r="F68" s="2"/>
      <x:c r="G68" s="2"/>
      <x:c r="H68" s="2"/>
      <x:c r="I68" s="2"/>
      <x:c r="J68" s="2"/>
      <x:c r="K68" s="2"/>
    </x:row>
    <x:row r="69">
      <x:c r="A69" s="1"/>
      <x:c r="B69" s="1"/>
      <x:c r="C69" s="2"/>
      <x:c r="D69" s="2"/>
      <x:c r="E69" s="2"/>
      <x:c r="F69" s="2"/>
      <x:c r="G69" s="2"/>
      <x:c r="H69" s="2"/>
      <x:c r="I69" s="2"/>
      <x:c r="J69" s="2"/>
      <x:c r="K69" s="2"/>
    </x:row>
    <x:row r="70">
      <x:c r="A70" s="1"/>
      <x:c r="B70" s="1"/>
      <x:c r="C70" s="2"/>
      <x:c r="D70" s="2"/>
      <x:c r="E70" s="2"/>
      <x:c r="F70" s="2"/>
      <x:c r="G70" s="2"/>
      <x:c r="H70" s="2"/>
      <x:c r="I70" s="2"/>
      <x:c r="J70" s="2"/>
      <x:c r="K70" s="2"/>
    </x:row>
    <x:row r="71">
      <x:c r="A71" s="1"/>
      <x:c r="B71" s="1"/>
      <x:c r="C71" s="2"/>
      <x:c r="D71" s="2"/>
      <x:c r="E71" s="2"/>
      <x:c r="F71" s="2"/>
      <x:c r="G71" s="2"/>
      <x:c r="H71" s="2"/>
      <x:c r="I71" s="2"/>
      <x:c r="J71" s="2"/>
      <x:c r="K71" s="2"/>
    </x:row>
    <x:row r="72">
      <x:c r="A72" s="1"/>
      <x:c r="B72" s="1"/>
      <x:c r="C72" s="2"/>
      <x:c r="D72" s="2"/>
      <x:c r="E72" s="2"/>
      <x:c r="F72" s="2"/>
      <x:c r="G72" s="2"/>
      <x:c r="H72" s="2"/>
      <x:c r="I72" s="2"/>
      <x:c r="J72" s="2"/>
      <x:c r="K72" s="2"/>
    </x:row>
    <x:row r="73">
      <x:c r="A73" s="1"/>
      <x:c r="B73" s="1"/>
      <x:c r="C73" s="2"/>
      <x:c r="D73" s="2"/>
      <x:c r="E73" s="2"/>
      <x:c r="F73" s="2"/>
      <x:c r="G73" s="2"/>
      <x:c r="H73" s="2"/>
      <x:c r="I73" s="2"/>
      <x:c r="J73" s="2"/>
      <x:c r="K73" s="2"/>
    </x:row>
    <x:row r="74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</x:row>
    <x:row r="75">
      <x:c r="A75" s="1"/>
      <x:c r="B75" s="1"/>
      <x:c r="C75" s="2"/>
      <x:c r="D75" s="2"/>
      <x:c r="E75" s="2"/>
      <x:c r="F75" s="2"/>
      <x:c r="G75" s="2"/>
      <x:c r="H75" s="2"/>
      <x:c r="I75" s="2"/>
      <x:c r="J75" s="2"/>
      <x:c r="K75" s="2"/>
    </x:row>
    <x:row r="76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</x:row>
    <x:row r="77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>
      <x:c r="A100" s="1"/>
      <x:c r="B100" s="1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>
      <x:c r="A101" s="1"/>
      <x:c r="B101" s="1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>
      <x:c r="A102" s="1"/>
      <x:c r="B102" s="1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>
      <x:c r="A103" s="1"/>
      <x:c r="B103" s="1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>
      <x:c r="A104" s="1"/>
      <x:c r="B104" s="1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>
      <x:c r="A105" s="1"/>
      <x:c r="B105" s="1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>
      <x:c r="A106" s="1"/>
      <x:c r="B106" s="1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>
      <x:c r="A108" s="1"/>
      <x:c r="B108" s="1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>
      <x:c r="A109" s="1"/>
      <x:c r="B109" s="1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>
      <x:c r="A110" s="1"/>
      <x:c r="B110" s="1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>
      <x:c r="A111" s="1"/>
      <x:c r="B111" s="1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>
      <x:c r="A121" s="1"/>
      <x:c r="B121" s="1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>
      <x:c r="A122" s="1"/>
      <x:c r="B122" s="1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>
      <x:c r="A123" s="1"/>
      <x:c r="B123" s="1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>
      <x:c r="A124" s="1"/>
      <x:c r="B124" s="1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3:K3"/>
    <x:mergeCell ref="C5:K5"/>
    <x:mergeCell ref="C18:K18"/>
    <x:mergeCell ref="C20:K20"/>
    <x:mergeCell ref="C22:K22"/>
    <x:mergeCell ref="C24:K24"/>
    <x:mergeCell ref="C26:K26"/>
    <x:mergeCell ref="C28:K28"/>
    <x:mergeCell ref="C30:K30"/>
    <x:mergeCell ref="C36:K36"/>
    <x:mergeCell ref="C37:K37"/>
    <x:mergeCell ref="C38:K38"/>
    <x:mergeCell ref="C39:K39"/>
    <x:mergeCell ref="C40:K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Assumptions and source-backed rate inputs</x:v>
      </x:c>
      <x:c r="D2" s="2"/>
      <x:c r="E2" s="2"/>
      <x:c r="F2" s="2"/>
      <x:c r="G2" s="2"/>
      <x:c r="H2" s="2"/>
      <x:c r="I2" s="2"/>
      <x:c r="J2" s="2"/>
      <x:c r="K2" s="2"/>
    </x:row>
    <x:row r="3" ht="38" customHeight="1">
      <x:c r="A3" s="1"/>
      <x:c r="B3" s="1"/>
      <x:c r="C3" s="4" t="str">
        <x:v>Blue cells are editable inputs; green formulas link sheets. Base rates are benchmarks or clearly marked project allowances, not quotations.</x:v>
      </x:c>
      <x:c r="D3" s="4"/>
      <x:c r="E3" s="4"/>
      <x:c r="F3" s="4"/>
      <x:c r="G3" s="4"/>
      <x:c r="H3" s="4"/>
      <x:c r="I3" s="4"/>
      <x:c r="J3" s="4"/>
      <x:c r="K3" s="4"/>
    </x:row>
    <x:row r="4">
      <x:c r="A4" s="1"/>
      <x:c r="B4" s="1"/>
      <x:c r="C4" s="2" t="str">
        <x:v>Scenario: 1 Lower / 2 Base / 3 Higher</x:v>
      </x:c>
      <x:c r="D4" s="6" t="n">
        <x:v>2</x:v>
      </x:c>
      <x:c r="E4" s="2"/>
      <x:c r="F4" s="2"/>
      <x:c r="G4" s="2"/>
      <x:c r="H4" s="2"/>
      <x:c r="I4" s="2"/>
      <x:c r="J4" s="2"/>
      <x:c r="K4" s="2"/>
    </x:row>
    <x:row r="5">
      <x:c r="A5" s="1"/>
      <x:c r="B5" s="1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Cost driver</x:v>
      </x:c>
      <x:c r="D7" s="9" t="str">
        <x:v>Active</x:v>
      </x:c>
      <x:c r="E7" s="9" t="str"/>
      <x:c r="F7" s="9" t="str">
        <x:v>Lower</x:v>
      </x:c>
      <x:c r="G7" s="9" t="str">
        <x:v>Base</x:v>
      </x:c>
      <x:c r="H7" s="9" t="str">
        <x:v>Higher</x:v>
      </x:c>
      <x:c r="I7" s="9" t="str"/>
      <x:c r="J7" s="9" t="str"/>
      <x:c r="K7" s="9" t="str">
        <x:v>Basis</x:v>
      </x:c>
    </x:row>
    <x:row r="8" ht="58" customHeight="1">
      <x:c r="A8" s="1"/>
      <x:c r="B8" s="1"/>
      <x:c r="C8" s="2" t="str">
        <x:v>Scientific and technical salary factor</x:v>
      </x:c>
      <x:c r="D8" s="10" t="n">
        <x:f>IF(ISNUMBER(CHOOSE($D$4,F8,G8,H8)),CHOOSE($D$4,F8,G8,H8),NA())</x:f>
        <x:v>1</x:v>
      </x:c>
      <x:c r="E8" s="10"/>
      <x:c r="F8" s="11" t="n">
        <x:v>0.9</x:v>
      </x:c>
      <x:c r="G8" s="11" t="n">
        <x:v>1</x:v>
      </x:c>
      <x:c r="H8" s="11" t="n">
        <x:v>1.2</x:v>
      </x:c>
      <x:c r="I8" s="10"/>
      <x:c r="J8" s="10"/>
      <x:c r="K8" s="4" t="str">
        <x:v>Project sensitivity around published-range midpoint; founder excluded.</x:v>
      </x:c>
    </x:row>
    <x:row r="9" ht="58" customHeight="1">
      <x:c r="A9" s="1"/>
      <x:c r="B9" s="1"/>
      <x:c r="C9" s="2" t="str">
        <x:v>Equipment price factor</x:v>
      </x:c>
      <x:c r="D9" s="10" t="n">
        <x:f>IF(ISNUMBER(CHOOSE($D$4,F9,G9,H9)),CHOOSE($D$4,F9,G9,H9),NA())</x:f>
        <x:v>1</x:v>
      </x:c>
      <x:c r="E9" s="10"/>
      <x:c r="F9" s="11" t="n">
        <x:v>0.8</x:v>
      </x:c>
      <x:c r="G9" s="11" t="n">
        <x:v>1</x:v>
      </x:c>
      <x:c r="H9" s="11" t="n">
        <x:v>1.35</x:v>
      </x:c>
      <x:c r="I9" s="10"/>
      <x:c r="J9" s="10"/>
      <x:c r="K9" s="4" t="str">
        <x:v>Project uncertainty allowance; unchanged apparatus scope.</x:v>
      </x:c>
    </x:row>
    <x:row r="10" ht="58" customHeight="1">
      <x:c r="A10" s="1"/>
      <x:c r="B10" s="1"/>
      <x:c r="C10" s="2" t="str">
        <x:v>Services / consumables factor</x:v>
      </x:c>
      <x:c r="D10" s="10" t="n">
        <x:f>IF(ISNUMBER(CHOOSE($D$4,F10,G10,H10)),CHOOSE($D$4,F10,G10,H10),NA())</x:f>
        <x:v>1</x:v>
      </x:c>
      <x:c r="E10" s="10"/>
      <x:c r="F10" s="11" t="n">
        <x:v>0.9</x:v>
      </x:c>
      <x:c r="G10" s="11" t="n">
        <x:v>1</x:v>
      </x:c>
      <x:c r="H10" s="11" t="n">
        <x:v>1.3</x:v>
      </x:c>
      <x:c r="I10" s="10"/>
      <x:c r="J10" s="10"/>
      <x:c r="K10" s="4" t="str">
        <x:v>Project uncertainty allowance; same core experimental work.</x:v>
      </x:c>
    </x:row>
    <x:row r="11" ht="58" customHeight="1">
      <x:c r="A11" s="1"/>
      <x:c r="B11" s="1"/>
      <x:c r="C11" s="2" t="str">
        <x:v>Additional analytical QC fraction</x:v>
      </x:c>
      <x:c r="D11" s="12" t="n">
        <x:f>IF(ISNUMBER(CHOOSE($D$4,F11,G11,H11)),CHOOSE($D$4,F11,G11,H11),NA())</x:f>
        <x:v>0.15</x:v>
      </x:c>
      <x:c r="E11" s="12"/>
      <x:c r="F11" s="13" t="n">
        <x:v>0.1</x:v>
      </x:c>
      <x:c r="G11" s="13" t="n">
        <x:v>0.15</x:v>
      </x:c>
      <x:c r="H11" s="13" t="n">
        <x:v>0.25</x:v>
      </x:c>
      <x:c r="I11" s="12"/>
      <x:c r="J11" s="12"/>
      <x:c r="K11" s="4" t="str">
        <x:v>Extra panels, rounded upward, beyond principal, commissioning and blind panels.</x:v>
      </x:c>
    </x:row>
    <x:row r="12" ht="58" customHeight="1">
      <x:c r="A12" s="1"/>
      <x:c r="B12" s="1"/>
      <x:c r="C12" s="2" t="str">
        <x:v>Professional employer burden</x:v>
      </x:c>
      <x:c r="D12" s="12" t="n">
        <x:f>IF(ISNUMBER(CHOOSE($D$4,F12,G12,H12)),CHOOSE($D$4,F12,G12,H12),NA())</x:f>
        <x:v>0.324</x:v>
      </x:c>
      <x:c r="E12" s="12"/>
      <x:c r="F12" s="13" t="n">
        <x:v>0.294</x:v>
      </x:c>
      <x:c r="G12" s="13" t="n">
        <x:v>0.324</x:v>
      </x:c>
      <x:c r="H12" s="13" t="n">
        <x:v>0.374</x:v>
      </x:c>
      <x:c r="I12" s="12"/>
      <x:c r="J12" s="12"/>
      <x:c r="K12" s="4" t="str">
        <x:v>B04 base; lower/higher are project sensitivity assumptions. Includes founder proxy.</x:v>
      </x:c>
    </x:row>
    <x:row r="13" ht="58" customHeight="1">
      <x:c r="A13" s="1"/>
      <x:c r="B13" s="1"/>
      <x:c r="C13" s="2" t="str">
        <x:v>Technician employer burden</x:v>
      </x:c>
      <x:c r="D13" s="12" t="n">
        <x:f>IF(ISNUMBER(CHOOSE($D$4,F13,G13,H13)),CHOOSE($D$4,F13,G13,H13),NA())</x:f>
        <x:v>0.375</x:v>
      </x:c>
      <x:c r="E13" s="12"/>
      <x:c r="F13" s="13" t="n">
        <x:v>0.345</x:v>
      </x:c>
      <x:c r="G13" s="13" t="n">
        <x:v>0.375</x:v>
      </x:c>
      <x:c r="H13" s="13" t="n">
        <x:v>0.425</x:v>
      </x:c>
      <x:c r="I13" s="12"/>
      <x:c r="J13" s="12"/>
      <x:c r="K13" s="4" t="str">
        <x:v>B04 base; lower/higher are project sensitivity assumptions.</x:v>
      </x:c>
    </x:row>
    <x:row r="14" ht="58" customHeight="1">
      <x:c r="A14" s="1"/>
      <x:c r="B14" s="1"/>
      <x:c r="C14" s="2" t="str">
        <x:v>Nonfounder salary increase after month 12</x:v>
      </x:c>
      <x:c r="D14" s="12" t="n">
        <x:f>IF(ISNUMBER(CHOOSE($D$4,F14,G14,H14)),CHOOSE($D$4,F14,G14,H14),NA())</x:f>
        <x:v>0.03</x:v>
      </x:c>
      <x:c r="E14" s="12"/>
      <x:c r="F14" s="13" t="n">
        <x:v>0</x:v>
      </x:c>
      <x:c r="G14" s="13" t="n">
        <x:v>0.03</x:v>
      </x:c>
      <x:c r="H14" s="13" t="n">
        <x:v>0.06</x:v>
      </x:c>
      <x:c r="I14" s="12"/>
      <x:c r="J14" s="12"/>
      <x:c r="K14" s="4" t="str">
        <x:v>Project assumption; first 12 funded months use active starting salary.</x:v>
      </x:c>
    </x:row>
    <x:row r="15" ht="58" customHeight="1">
      <x:c r="A15" s="1"/>
      <x:c r="B15" s="1"/>
      <x:c r="C15" s="2" t="str">
        <x:v>F&amp;A / institutional cost rate</x:v>
      </x:c>
      <x:c r="D15" s="12" t="n">
        <x:f>IF(ISNUMBER(CHOOSE($D$4,F15,G15,H15)),CHOOSE($D$4,F15,G15,H15),NA())</x:f>
        <x:v>0.555</x:v>
      </x:c>
      <x:c r="E15" s="12"/>
      <x:c r="F15" s="13" t="n">
        <x:v>0.555</x:v>
      </x:c>
      <x:c r="G15" s="13" t="n">
        <x:v>0.555</x:v>
      </x:c>
      <x:c r="H15" s="13" t="n">
        <x:v>0.555</x:v>
      </x:c>
      <x:c r="I15" s="12"/>
      <x:c r="J15" s="12"/>
      <x:c r="K15" s="4" t="str">
        <x:v>B04, B11. On-campus university benchmark; no host or rate agreement secured.</x:v>
      </x:c>
    </x:row>
    <x:row r="16" ht="58" customHeight="1">
      <x:c r="A16" s="1"/>
      <x:c r="B16" s="1"/>
      <x:c r="C16" s="2" t="str">
        <x:v>Risk reserve on direct plus F&amp;A</x:v>
      </x:c>
      <x:c r="D16" s="12" t="n">
        <x:f>IF(ISNUMBER(CHOOSE($D$4,F16,G16,H16)),CHOOSE($D$4,F16,G16,H16),NA())</x:f>
        <x:v>0.15</x:v>
      </x:c>
      <x:c r="E16" s="12"/>
      <x:c r="F16" s="13" t="n">
        <x:v>0.1</x:v>
      </x:c>
      <x:c r="G16" s="13" t="n">
        <x:v>0.15</x:v>
      </x:c>
      <x:c r="H16" s="13" t="n">
        <x:v>0.2</x:v>
      </x:c>
      <x:c r="I16" s="12"/>
      <x:c r="J16" s="12"/>
      <x:c r="K16" s="4" t="str">
        <x:v>Project funding-envelope allowance; not an automatically allowable grant expense.</x:v>
      </x:c>
    </x:row>
    <x:row r="17" ht="58" customHeight="1">
      <x:c r="A17" s="1"/>
      <x:c r="B17" s="1"/>
      <x:c r="C17" s="2" t="str">
        <x:v>Tax on purchased goods plus freight</x:v>
      </x:c>
      <x:c r="D17" s="14" t="n">
        <x:f>IF(ISNUMBER(CHOOSE($D$4,F17,G17,H17)),CHOOSE($D$4,F17,G17,H17),NA())</x:f>
        <x:v>0.1055</x:v>
      </x:c>
      <x:c r="E17" s="14"/>
      <x:c r="F17" s="15" t="n">
        <x:v>0.1055</x:v>
      </x:c>
      <x:c r="G17" s="15" t="n">
        <x:v>0.1055</x:v>
      </x:c>
      <x:c r="H17" s="15" t="n">
        <x:v>0.1055</x:v>
      </x:c>
      <x:c r="I17" s="14"/>
      <x:c r="J17" s="14"/>
      <x:c r="K17" s="4" t="str">
        <x:v>B10. Planning destination Seattle, Q3 2026; service tax not included.</x:v>
      </x:c>
    </x:row>
    <x:row r="18" ht="58" customHeight="1">
      <x:c r="A18" s="1"/>
      <x:c r="B18" s="1"/>
      <x:c r="C18" s="2" t="str">
        <x:v>Freight on purchased goods</x:v>
      </x:c>
      <x:c r="D18" s="12" t="n">
        <x:f>IF(ISNUMBER(CHOOSE($D$4,F18,G18,H18)),CHOOSE($D$4,F18,G18,H18),NA())</x:f>
        <x:v>0.05</x:v>
      </x:c>
      <x:c r="E18" s="12"/>
      <x:c r="F18" s="13" t="n">
        <x:v>0.05</x:v>
      </x:c>
      <x:c r="G18" s="13" t="n">
        <x:v>0.05</x:v>
      </x:c>
      <x:c r="H18" s="13" t="n">
        <x:v>0.05</x:v>
      </x:c>
      <x:c r="I18" s="12"/>
      <x:c r="J18" s="12"/>
      <x:c r="K18" s="4" t="str">
        <x:v>Project estimate; not a carrier quote.</x:v>
      </x:c>
    </x:row>
    <x:row r="19">
      <x:c r="A19" s="1"/>
      <x:c r="B19" s="1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8" customHeight="1">
      <x:c r="A20" s="1"/>
      <x:c r="B20" s="1"/>
      <x:c r="C20" s="4" t="str">
        <x:v>Lower/Higher cases are project sensitivities, not probabilities, minimum/maximum prices or complete alternative host arrangements. Future prices, service taxability and actual institutional terms may differ.</x:v>
      </x:c>
      <x:c r="D20" s="4"/>
      <x:c r="E20" s="4"/>
      <x:c r="F20" s="4"/>
      <x:c r="G20" s="4"/>
      <x:c r="H20" s="4"/>
      <x:c r="I20" s="4"/>
      <x:c r="J20" s="4"/>
      <x:c r="K20" s="4"/>
    </x:row>
    <x:row r="21">
      <x:c r="A21" s="1"/>
      <x:c r="B21" s="1"/>
      <x:c r="C21" s="2"/>
      <x:c r="D21" s="2"/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/>
      <x:c r="D22" s="2"/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1"/>
      <x:c r="B24" s="1"/>
      <x:c r="C24" s="9" t="str">
        <x:v>Annual salary basis</x:v>
      </x:c>
      <x:c r="D24" s="9" t="str">
        <x:v>Range low</x:v>
      </x:c>
      <x:c r="E24" s="9" t="str">
        <x:v>Range high</x:v>
      </x:c>
      <x:c r="F24" s="9" t="str">
        <x:v>Annual midpoint</x:v>
      </x:c>
      <x:c r="G24" s="9" t="str">
        <x:v>Annualizer</x:v>
      </x:c>
      <x:c r="H24" s="9" t="str"/>
      <x:c r="I24" s="9" t="str"/>
      <x:c r="J24" s="9" t="str"/>
      <x:c r="K24" s="9" t="str">
        <x:v>Source</x:v>
      </x:c>
    </x:row>
    <x:row r="25">
      <x:c r="A25" s="1"/>
      <x:c r="B25" s="1"/>
      <x:c r="C25" s="2" t="str">
        <x:v>Principal investigator / senior scientific lead</x:v>
      </x:c>
      <x:c r="D25" s="16" t="n">
        <x:v>104172</x:v>
      </x:c>
      <x:c r="E25" s="16" t="n">
        <x:v>220596</x:v>
      </x:c>
      <x:c r="F25" s="17" t="n">
        <x:f>IF(COUNT(D25:E25,G25)=3,SUM(D25:E25)/2*G25,NA())</x:f>
        <x:v>162384</x:v>
      </x:c>
      <x:c r="G25" s="6" t="n">
        <x:v>1</x:v>
      </x:c>
      <x:c r="H25" s="2"/>
      <x:c r="I25" s="2"/>
      <x:c r="J25" s="2"/>
      <x:c r="K25" s="2" t="str">
        <x:v>B02</x:v>
      </x:c>
    </x:row>
    <x:row r="26">
      <x:c r="A26" s="1"/>
      <x:c r="B26" s="1"/>
      <x:c r="C26" s="2" t="str">
        <x:v>Primary research scientist</x:v>
      </x:c>
      <x:c r="D26" s="16" t="n">
        <x:v>8287</x:v>
      </x:c>
      <x:c r="E26" s="16" t="n">
        <x:v>13694</x:v>
      </x:c>
      <x:c r="F26" s="17" t="n">
        <x:f>IF(COUNT(D26:E26,G26)=3,SUM(D26:E26)/2*G26,NA())</x:f>
        <x:v>131886</x:v>
      </x:c>
      <x:c r="G26" s="6" t="n">
        <x:v>12</x:v>
      </x:c>
      <x:c r="H26" s="2"/>
      <x:c r="I26" s="2"/>
      <x:c r="J26" s="2"/>
      <x:c r="K26" s="2" t="str">
        <x:v>B01</x:v>
      </x:c>
    </x:row>
    <x:row r="27">
      <x:c r="A27" s="1"/>
      <x:c r="B27" s="1"/>
      <x:c r="C27" s="2" t="str">
        <x:v>Second research scientist</x:v>
      </x:c>
      <x:c r="D27" s="16" t="n">
        <x:v>6687</x:v>
      </x:c>
      <x:c r="E27" s="16" t="n">
        <x:v>11051</x:v>
      </x:c>
      <x:c r="F27" s="17" t="n">
        <x:f>IF(COUNT(D27:E27,G27)=3,SUM(D27:E27)/2*G27,NA())</x:f>
        <x:v>106428</x:v>
      </x:c>
      <x:c r="G27" s="6" t="n">
        <x:v>12</x:v>
      </x:c>
      <x:c r="H27" s="2"/>
      <x:c r="I27" s="2"/>
      <x:c r="J27" s="2"/>
      <x:c r="K27" s="2" t="str">
        <x:v>B01</x:v>
      </x:c>
    </x:row>
    <x:row r="28">
      <x:c r="A28" s="1"/>
      <x:c r="B28" s="1"/>
      <x:c r="C28" s="2" t="str">
        <x:v>Research technician</x:v>
      </x:c>
      <x:c r="D28" s="16" t="n">
        <x:v>4125</x:v>
      </x:c>
      <x:c r="E28" s="16" t="n">
        <x:v>5534</x:v>
      </x:c>
      <x:c r="F28" s="17" t="n">
        <x:f>IF(COUNT(D28:E28,G28)=3,SUM(D28:E28)/2*G28,NA())</x:f>
        <x:v>57954</x:v>
      </x:c>
      <x:c r="G28" s="6" t="n">
        <x:v>12</x:v>
      </x:c>
      <x:c r="H28" s="2"/>
      <x:c r="I28" s="2"/>
      <x:c r="J28" s="2"/>
      <x:c r="K28" s="2" t="str">
        <x:v>B03</x:v>
      </x:c>
    </x:row>
    <x:row r="29">
      <x:c r="A29" s="1"/>
      <x:c r="B29" s="1"/>
      <x:c r="C29" s="2" t="str">
        <x:v>Statistician / independent QA</x:v>
      </x:c>
      <x:c r="D29" s="16" t="n">
        <x:v>6570</x:v>
      </x:c>
      <x:c r="E29" s="16" t="n">
        <x:v>10923</x:v>
      </x:c>
      <x:c r="F29" s="17" t="n">
        <x:f>IF(COUNT(D29:E29,G29)=3,SUM(D29:E29)/2*G29,NA())</x:f>
        <x:v>104958</x:v>
      </x:c>
      <x:c r="G29" s="6" t="n">
        <x:v>12</x:v>
      </x:c>
      <x:c r="H29" s="2"/>
      <x:c r="I29" s="2"/>
      <x:c r="J29" s="2"/>
      <x:c r="K29" s="2" t="str">
        <x:v>B01</x:v>
      </x:c>
    </x:row>
    <x:row r="30">
      <x:c r="A30" s="1"/>
      <x:c r="B30" s="1"/>
      <x:c r="C30" s="2" t="str">
        <x:v>Daniel: project coordination</x:v>
      </x:c>
      <x:c r="D30" s="16" t="n">
        <x:v>135200</x:v>
      </x:c>
      <x:c r="E30" s="16" t="n">
        <x:v>135200</x:v>
      </x:c>
      <x:c r="F30" s="17" t="n">
        <x:f>IF(COUNT(D30:E30,G30)=3,SUM(D30:E30)/2*G30,NA())</x:f>
        <x:v>135200</x:v>
      </x:c>
      <x:c r="G30" s="6" t="n">
        <x:v>1</x:v>
      </x:c>
      <x:c r="H30" s="2"/>
      <x:c r="I30" s="2"/>
      <x:c r="J30" s="2"/>
      <x:c r="K30" s="2" t="str">
        <x:v>P-COST</x:v>
      </x:c>
    </x:row>
    <x:row r="31">
      <x:c r="A31" s="1"/>
      <x:c r="B31" s="1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38" customHeight="1">
      <x:c r="A32" s="1"/>
      <x:c r="B32" s="1"/>
      <x:c r="C32" s="4" t="str">
        <x:v>Scientific salaries use midpoints of published UW ranges, not a Seattle average. Daniel’s requested $135,200 annual gross stays fixed in every case, before employer burden. A host must approve appointment, effort and compensation.</x:v>
      </x:c>
      <x:c r="D32" s="4"/>
      <x:c r="E32" s="4"/>
      <x:c r="F32" s="4"/>
      <x:c r="G32" s="4"/>
      <x:c r="H32" s="4"/>
      <x:c r="I32" s="4"/>
      <x:c r="J32" s="4"/>
      <x:c r="K32" s="4"/>
    </x:row>
    <x:row r="33">
      <x:c r="A33" s="1"/>
      <x:c r="B33" s="1"/>
      <x:c r="C33" s="2"/>
      <x:c r="D33" s="2"/>
      <x:c r="E33" s="2"/>
      <x:c r="F33" s="2"/>
      <x:c r="G33" s="2"/>
      <x:c r="H33" s="2"/>
      <x:c r="I33" s="2"/>
      <x:c r="J33" s="2"/>
      <x:c r="K33" s="2"/>
    </x:row>
    <x:row r="34">
      <x:c r="A34" s="1"/>
      <x:c r="B34" s="1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32" customHeight="1">
      <x:c r="A35" s="1"/>
      <x:c r="B35" s="1"/>
      <x:c r="C35" s="9" t="str">
        <x:v>Analytical costing components</x:v>
      </x:c>
      <x:c r="D35" s="9" t="str">
        <x:v>USD / panel</x:v>
      </x:c>
      <x:c r="E35" s="9" t="str"/>
      <x:c r="F35" s="9" t="str"/>
      <x:c r="G35" s="9" t="str"/>
      <x:c r="H35" s="9" t="str"/>
      <x:c r="I35" s="9" t="str"/>
      <x:c r="J35" s="9" t="str"/>
      <x:c r="K35" s="9" t="str">
        <x:v>Basis</x:v>
      </x:c>
    </x:row>
    <x:row r="36">
      <x:c r="A36" s="1"/>
      <x:c r="B36" s="1"/>
      <x:c r="C36" s="2" t="str">
        <x:v>ICP-MS combined major / trace</x:v>
      </x:c>
      <x:c r="D36" s="16" t="n">
        <x:v>150</x:v>
      </x:c>
      <x:c r="E36" s="2"/>
      <x:c r="F36" s="2"/>
      <x:c r="G36" s="2"/>
      <x:c r="H36" s="2"/>
      <x:c r="I36" s="2"/>
      <x:c r="J36" s="2"/>
      <x:c r="K36" s="2" t="str">
        <x:v>B05</x:v>
      </x:c>
    </x:row>
    <x:row r="37">
      <x:c r="A37" s="1"/>
      <x:c r="B37" s="1"/>
      <x:c r="C37" s="2" t="str">
        <x:v>Ion chromatography</x:v>
      </x:c>
      <x:c r="D37" s="16" t="n">
        <x:v>20</x:v>
      </x:c>
      <x:c r="E37" s="2"/>
      <x:c r="F37" s="2"/>
      <x:c r="G37" s="2"/>
      <x:c r="H37" s="2"/>
      <x:c r="I37" s="2"/>
      <x:c r="J37" s="2"/>
      <x:c r="K37" s="2" t="str">
        <x:v>B05</x:v>
      </x:c>
    </x:row>
    <x:row r="38">
      <x:c r="A38" s="1"/>
      <x:c r="B38" s="1"/>
      <x:c r="C38" s="2" t="str">
        <x:v>DOC / total nitrogen</x:v>
      </x:c>
      <x:c r="D38" s="16" t="n">
        <x:v>20</x:v>
      </x:c>
      <x:c r="E38" s="2"/>
      <x:c r="F38" s="2"/>
      <x:c r="G38" s="2"/>
      <x:c r="H38" s="2"/>
      <x:c r="I38" s="2"/>
      <x:c r="J38" s="2"/>
      <x:c r="K38" s="2" t="str">
        <x:v>B05</x:v>
      </x:c>
    </x:row>
    <x:row r="39">
      <x:c r="A39" s="1"/>
      <x:c r="B39" s="1"/>
      <x:c r="C39" s="2" t="str">
        <x:v>Matrix preparation allowance</x:v>
      </x:c>
      <x:c r="D39" s="16" t="n">
        <x:v>55</x:v>
      </x:c>
      <x:c r="E39" s="2"/>
      <x:c r="F39" s="2"/>
      <x:c r="G39" s="2"/>
      <x:c r="H39" s="2"/>
      <x:c r="I39" s="2"/>
      <x:c r="J39" s="2"/>
      <x:c r="K39" s="2" t="str">
        <x:v>P-COST</x:v>
      </x:c>
    </x:row>
    <x:row r="40">
      <x:c r="A40" s="1"/>
      <x:c r="B40" s="1"/>
      <x:c r="C40" s="2"/>
      <x:c r="D40" s="17"/>
      <x:c r="E40" s="2"/>
      <x:c r="F40" s="2"/>
      <x:c r="G40" s="2"/>
      <x:c r="H40" s="2"/>
      <x:c r="I40" s="2"/>
      <x:c r="J40" s="2"/>
      <x:c r="K40" s="2"/>
    </x:row>
    <x:row r="41">
      <x:c r="A41" s="1"/>
      <x:c r="B41" s="1"/>
      <x:c r="C41" s="2" t="str">
        <x:v>A–G panel-equivalent base</x:v>
      </x:c>
      <x:c r="D41" s="17" t="n">
        <x:f>IF(COUNT(D36:D37,D39)=3,SUM(D36:D37)+D39,NA())</x:f>
        <x:v>225</x:v>
      </x:c>
      <x:c r="E41" s="2"/>
      <x:c r="F41" s="2"/>
      <x:c r="G41" s="2"/>
      <x:c r="H41" s="2"/>
      <x:c r="I41" s="2"/>
      <x:c r="J41" s="2"/>
      <x:c r="K41" s="2"/>
    </x:row>
    <x:row r="42">
      <x:c r="A42" s="1"/>
      <x:c r="B42" s="1"/>
      <x:c r="C42" s="2" t="str">
        <x:v>H panel-equivalent base</x:v>
      </x:c>
      <x:c r="D42" s="17" t="n">
        <x:f>IF(COUNT(D36:D39)=4,SUM(D36:D39),NA())</x:f>
        <x:v>245</x:v>
      </x:c>
      <x:c r="E42" s="2"/>
      <x:c r="F42" s="2"/>
      <x:c r="G42" s="2"/>
      <x:c r="H42" s="2"/>
      <x:c r="I42" s="2"/>
      <x:c r="J42" s="2"/>
      <x:c r="K42" s="2"/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38" customHeight="1">
      <x:c r="A44" s="1"/>
      <x:c r="B44" s="1"/>
      <x:c r="C44" s="4" t="str">
        <x:v>These are costing bundles, not validated analytical methods. High-salt liquids, solids, material leachates and detection limits need laboratory review; matrix development is also separately budgeted. QC panels are additional.</x:v>
      </x:c>
      <x:c r="D44" s="4"/>
      <x:c r="E44" s="4"/>
      <x:c r="F44" s="4"/>
      <x:c r="G44" s="4"/>
      <x:c r="H44" s="4"/>
      <x:c r="I44" s="4"/>
      <x:c r="J44" s="4"/>
      <x:c r="K44" s="4"/>
    </x:row>
    <x:row r="45">
      <x:c r="A45" s="1"/>
      <x:c r="B45" s="1"/>
      <x:c r="C45" s="2"/>
      <x:c r="D45" s="2"/>
      <x:c r="E45" s="2"/>
      <x:c r="F45" s="2"/>
      <x:c r="G45" s="2"/>
      <x:c r="H45" s="2"/>
      <x:c r="I45" s="2"/>
      <x:c r="J45" s="2"/>
      <x:c r="K45" s="2"/>
    </x:row>
    <x:row r="46">
      <x:c r="A46" s="1"/>
      <x:c r="B46" s="1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38" customHeight="1">
      <x:c r="A47" s="1"/>
      <x:c r="B47" s="1"/>
      <x:c r="C47" s="4" t="str">
        <x:v>B01 • University of Washington Human Resources • Represented CSE job profile list and specs • Updated September 3, 2026</x:v>
      </x:c>
      <x:c r="D47" s="4"/>
      <x:c r="E47" s="4"/>
      <x:c r="F47" s="4"/>
      <x:c r="G47" s="4"/>
      <x:c r="H47" s="4"/>
      <x:c r="I47" s="4"/>
      <x:c r="J47" s="4"/>
      <x:c r="K47" s="4"/>
    </x:row>
    <x:row r="48" ht="38" customHeight="1">
      <x:c r="A48" s="1"/>
      <x:c r="B48" s="1"/>
      <x:c r="C48" s="4" t="str">
        <x:v>https://hr.uw.edu/comp/represented-civil-service-exempt-staff/rcse-job-profile-list-specs/</x:v>
      </x:c>
      <x:c r="D48" s="4"/>
      <x:c r="E48" s="4"/>
      <x:c r="F48" s="4"/>
      <x:c r="G48" s="4"/>
      <x:c r="H48" s="4"/>
      <x:c r="I48" s="4"/>
      <x:c r="J48" s="4"/>
      <x:c r="K48" s="4"/>
    </x:row>
    <x:row r="49" ht="55" customHeight="1">
      <x:c r="A49" s="1"/>
      <x:c r="B49" s="1"/>
      <x:c r="C49" s="4" t="str">
        <x:v>Monthly campus Research Scientist/Engineer 4: $8,287–$13,694; level 3: $6,687–$11,051; Research Consultant 3: $6,570–$10,923. Annual midpoints are project calculations, not offers or Seattle averages.</x:v>
      </x:c>
      <x:c r="D49" s="4"/>
      <x:c r="E49" s="4"/>
      <x:c r="F49" s="4"/>
      <x:c r="G49" s="4"/>
      <x:c r="H49" s="4"/>
      <x:c r="I49" s="4"/>
      <x:c r="J49" s="4"/>
      <x:c r="K49" s="4"/>
    </x:row>
    <x:row r="50">
      <x:c r="A50" s="1"/>
      <x:c r="B50" s="1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38" customHeight="1">
      <x:c r="A51" s="1"/>
      <x:c r="B51" s="1"/>
      <x:c r="C51" s="4" t="str">
        <x:v>B02 • University of Washington Human Resources • Professional Staff Program • Salary ranges effective March 1, 2024; current page checked September 9, 2026</x:v>
      </x:c>
      <x:c r="D51" s="4"/>
      <x:c r="E51" s="4"/>
      <x:c r="F51" s="4"/>
      <x:c r="G51" s="4"/>
      <x:c r="H51" s="4"/>
      <x:c r="I51" s="4"/>
      <x:c r="J51" s="4"/>
      <x:c r="K51" s="4"/>
    </x:row>
    <x:row r="52" ht="38" customHeight="1">
      <x:c r="A52" s="1"/>
      <x:c r="B52" s="1"/>
      <x:c r="C52" s="4" t="str">
        <x:v>https://hr.uw.edu/professional-staff-program/</x:v>
      </x:c>
      <x:c r="D52" s="4"/>
      <x:c r="E52" s="4"/>
      <x:c r="F52" s="4"/>
      <x:c r="G52" s="4"/>
      <x:c r="H52" s="4"/>
      <x:c r="I52" s="4"/>
      <x:c r="J52" s="4"/>
      <x:c r="K52" s="4"/>
    </x:row>
    <x:row r="53" ht="55" customHeight="1">
      <x:c r="A53" s="1"/>
      <x:c r="B53" s="1"/>
      <x:c r="C53" s="4" t="str">
        <x:v>Senior Research Scientist/Engineer grade 10 annual range $104,172–$220,596. Its midpoint is a senior scientific-lead salary proxy; it does not establish PI eligibility.</x:v>
      </x:c>
      <x:c r="D53" s="4"/>
      <x:c r="E53" s="4"/>
      <x:c r="F53" s="4"/>
      <x:c r="G53" s="4"/>
      <x:c r="H53" s="4"/>
      <x:c r="I53" s="4"/>
      <x:c r="J53" s="4"/>
      <x:c r="K53" s="4"/>
    </x:row>
    <x:row r="54">
      <x:c r="A54" s="1"/>
      <x:c r="B54" s="1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38" customHeight="1">
      <x:c r="A55" s="1"/>
      <x:c r="B55" s="1"/>
      <x:c r="C55" s="4" t="str">
        <x:v>B03 • University of Washington Human Resources • Job title list and specs – Classified staff • Undated rate table; checked September 9, 2026</x:v>
      </x:c>
      <x:c r="D55" s="4"/>
      <x:c r="E55" s="4"/>
      <x:c r="F55" s="4"/>
      <x:c r="G55" s="4"/>
      <x:c r="H55" s="4"/>
      <x:c r="I55" s="4"/>
      <x:c r="J55" s="4"/>
      <x:c r="K55" s="4"/>
    </x:row>
    <x:row r="56" ht="38" customHeight="1">
      <x:c r="A56" s="1"/>
      <x:c r="B56" s="1"/>
      <x:c r="C56" s="4" t="str">
        <x:v>https://hr.uw.edu/comp/classified-staff/classified-job-titles-and-specs/</x:v>
      </x:c>
      <x:c r="D56" s="4"/>
      <x:c r="E56" s="4"/>
      <x:c r="F56" s="4"/>
      <x:c r="G56" s="4"/>
      <x:c r="H56" s="4"/>
      <x:c r="I56" s="4"/>
      <x:c r="J56" s="4"/>
      <x:c r="K56" s="4"/>
    </x:row>
    <x:row r="57" ht="55" customHeight="1">
      <x:c r="A57" s="1"/>
      <x:c r="B57" s="1"/>
      <x:c r="C57" s="4" t="str">
        <x:v>Research Technologist 3 code 17835 monthly range $4,125–$5,534; project uses annual midpoint.</x:v>
      </x:c>
      <x:c r="D57" s="4"/>
      <x:c r="E57" s="4"/>
      <x:c r="F57" s="4"/>
      <x:c r="G57" s="4"/>
      <x:c r="H57" s="4"/>
      <x:c r="I57" s="4"/>
      <x:c r="J57" s="4"/>
      <x:c r="K57" s="4"/>
    </x:row>
    <x:row r="58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38" customHeight="1">
      <x:c r="A59" s="1"/>
      <x:c r="B59" s="1"/>
      <x:c r="C59" s="4" t="str">
        <x:v>B04 • University of Washington Research • Institutional Facts and Rates • FY27 current benefit rates; F&amp;A agreement June 26, 2024, rate used until amended</x:v>
      </x:c>
      <x:c r="D59" s="4"/>
      <x:c r="E59" s="4"/>
      <x:c r="F59" s="4"/>
      <x:c r="G59" s="4"/>
      <x:c r="H59" s="4"/>
      <x:c r="I59" s="4"/>
      <x:c r="J59" s="4"/>
      <x:c r="K59" s="4"/>
    </x:row>
    <x:row r="60" ht="38" customHeight="1">
      <x:c r="A60" s="1"/>
      <x:c r="B60" s="1"/>
      <x:c r="C60" s="4" t="str">
        <x:v>https://research.washington.edu/research/institutional-facts-and-rates/</x:v>
      </x:c>
      <x:c r="D60" s="4"/>
      <x:c r="E60" s="4"/>
      <x:c r="F60" s="4"/>
      <x:c r="G60" s="4"/>
      <x:c r="H60" s="4"/>
      <x:c r="I60" s="4"/>
      <x:c r="J60" s="4"/>
      <x:c r="K60" s="4"/>
    </x:row>
    <x:row r="61" ht="55" customHeight="1">
      <x:c r="A61" s="1"/>
      <x:c r="B61" s="1"/>
      <x:c r="C61" s="4" t="str">
        <x:v>Campus professional benefits 32.4%, classified 37.5%; on-campus organized-research F&amp;A 55.5% of modified total direct cost. These are one possible host-cost benchmark, not a UW affiliation. General space, IT and ordinary utilities are not added again.</x:v>
      </x:c>
      <x:c r="D61" s="4"/>
      <x:c r="E61" s="4"/>
      <x:c r="F61" s="4"/>
      <x:c r="G61" s="4"/>
      <x:c r="H61" s="4"/>
      <x:c r="I61" s="4"/>
      <x:c r="J61" s="4"/>
      <x:c r="K61" s="4"/>
    </x:row>
    <x:row r="62">
      <x:c r="A62" s="1"/>
      <x:c r="B62" s="1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38" customHeight="1">
      <x:c r="A63" s="1"/>
      <x:c r="B63" s="1"/>
      <x:c r="C63" s="4" t="str">
        <x:v>B05 • Washington State University Vancouver Water Chemistry Facility • Rates • Undated; checked September 9, 2026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https://vancouver.labs.wsu.edu/icpms/rates/</x:v>
      </x:c>
      <x:c r="D64" s="4"/>
      <x:c r="E64" s="4"/>
      <x:c r="F64" s="4"/>
      <x:c r="G64" s="4"/>
      <x:c r="H64" s="4"/>
      <x:c r="I64" s="4"/>
      <x:c r="J64" s="4"/>
      <x:c r="K64" s="4"/>
    </x:row>
    <x:row r="65" ht="55" customHeight="1">
      <x:c r="A65" s="1"/>
      <x:c r="B65" s="1"/>
      <x:c r="C65" s="4" t="str">
        <x:v>Nonacademic sample rates: combined major/trace ICP-MS $150, ion chromatography $20, DOC/total nitrogen $20. High-salt matrix preparation, solids digestion, additional methods and project QC are not established by these rates; the budget adds explicit allowances.</x:v>
      </x:c>
      <x:c r="D65" s="4"/>
      <x:c r="E65" s="4"/>
      <x:c r="F65" s="4"/>
      <x:c r="G65" s="4"/>
      <x:c r="H65" s="4"/>
      <x:c r="I65" s="4"/>
      <x:c r="J65" s="4"/>
      <x:c r="K65" s="4"/>
    </x:row>
    <x:row r="66">
      <x:c r="A66" s="1"/>
      <x:c r="B66" s="1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38" customHeight="1">
      <x:c r="A67" s="1"/>
      <x:c r="B67" s="1"/>
      <x:c r="C67" s="4" t="str">
        <x:v>B06 • USA Lab • Benchtop 5L Single Jacketed Glass Reactor • Undated product listing; price observed September 9, 2026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https://www.usalab.com/usa-lab-benchtop-5l-single-jacketed-glass-reactor/</x:v>
      </x:c>
      <x:c r="D68" s="4"/>
      <x:c r="E68" s="4"/>
      <x:c r="F68" s="4"/>
      <x:c r="G68" s="4"/>
      <x:c r="H68" s="4"/>
      <x:c r="I68" s="4"/>
      <x:c r="J68" s="4"/>
      <x:c r="K68" s="4"/>
    </x:row>
    <x:row r="69" ht="55" customHeight="1">
      <x:c r="A69" s="1"/>
      <x:c r="B69" s="1"/>
      <x:c r="C69" s="4" t="str">
        <x:v>JRBT-5L listed at $4,620. Component price only; a complete instrumented process train costs more.</x:v>
      </x:c>
      <x:c r="D69" s="4"/>
      <x:c r="E69" s="4"/>
      <x:c r="F69" s="4"/>
      <x:c r="G69" s="4"/>
      <x:c r="H69" s="4"/>
      <x:c r="I69" s="4"/>
      <x:c r="J69" s="4"/>
      <x:c r="K69" s="4"/>
    </x:row>
    <x:row r="70">
      <x:c r="A70" s="1"/>
      <x:c r="B70" s="1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38" customHeight="1">
      <x:c r="A71" s="1"/>
      <x:c r="B71" s="1"/>
      <x:c r="C71" s="4" t="str">
        <x:v>B07 • Sterlitech • CF042 Cell Assembly, Forward Osmosis, PTFE • Undated product listing; price observed September 9, 2026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https://www.sterlitech.com/forward-osmosis-fo-style-cell-ptfe.html</x:v>
      </x:c>
      <x:c r="D72" s="4"/>
      <x:c r="E72" s="4"/>
      <x:c r="F72" s="4"/>
      <x:c r="G72" s="4"/>
      <x:c r="H72" s="4"/>
      <x:c r="I72" s="4"/>
      <x:c r="J72" s="4"/>
      <x:c r="K72" s="4"/>
    </x:row>
    <x:row r="73" ht="55" customHeight="1">
      <x:c r="A73" s="1"/>
      <x:c r="B73" s="1"/>
      <x:c r="C73" s="4" t="str">
        <x:v>Listed at $1,325.72. Small cell price anchor only: it is not the specified 0.02 m² custom MD cell. Custom-cell allowances are project estimates, not this supplier’s quotation.</x:v>
      </x:c>
      <x:c r="D73" s="4"/>
      <x:c r="E73" s="4"/>
      <x:c r="F73" s="4"/>
      <x:c r="G73" s="4"/>
      <x:c r="H73" s="4"/>
      <x:c r="I73" s="4"/>
      <x:c r="J73" s="4"/>
      <x:c r="K73" s="4"/>
    </x:row>
    <x:row r="74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38" customHeight="1">
      <x:c r="A75" s="1"/>
      <x:c r="B75" s="1"/>
      <x:c r="C75" s="4" t="str">
        <x:v>B08 • USA Lab • −40°C to 200°C 6L Heater Chiller UHC-10/40 • Undated product listing; price observed September 9, 2026</x:v>
      </x:c>
      <x:c r="D75" s="4"/>
      <x:c r="E75" s="4"/>
      <x:c r="F75" s="4"/>
      <x:c r="G75" s="4"/>
      <x:c r="H75" s="4"/>
      <x:c r="I75" s="4"/>
      <x:c r="J75" s="4"/>
      <x:c r="K75" s="4"/>
    </x:row>
    <x:row r="76" ht="38" customHeight="1">
      <x:c r="A76" s="1"/>
      <x:c r="B76" s="1"/>
      <x:c r="C76" s="4" t="str">
        <x:v>https://www.usalab.com/usa-lab-40-c-to-200-c-6l-heater-chiller-uhc-10-40-for-10l-reactors/</x:v>
      </x:c>
      <x:c r="D76" s="4"/>
      <x:c r="E76" s="4"/>
      <x:c r="F76" s="4"/>
      <x:c r="G76" s="4"/>
      <x:c r="H76" s="4"/>
      <x:c r="I76" s="4"/>
      <x:c r="J76" s="4"/>
      <x:c r="K76" s="4"/>
    </x:row>
    <x:row r="77" ht="55" customHeight="1">
      <x:c r="A77" s="1"/>
      <x:c r="B77" s="1"/>
      <x:c r="C77" s="4" t="str">
        <x:v>Listed at $7,199. Price anchor; continuous-duty capacity at the study temperatures must be qualified. G and H use larger unquoted allowances, not a claim that this model meets their duty.</x:v>
      </x:c>
      <x:c r="D77" s="4"/>
      <x:c r="E77" s="4"/>
      <x:c r="F77" s="4"/>
      <x:c r="G77" s="4"/>
      <x:c r="H77" s="4"/>
      <x:c r="I77" s="4"/>
      <x:c r="J77" s="4"/>
      <x:c r="K77" s="4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38" customHeight="1">
      <x:c r="A79" s="1"/>
      <x:c r="B79" s="1"/>
      <x:c r="C79" s="4" t="str">
        <x:v>B09 • The Lab Depot • BMT Climacell EVO Temperature and Humidity Controlled Climate Chambers • Undated product listing; price observed September 9, 2026</x:v>
      </x:c>
      <x:c r="D79" s="4"/>
      <x:c r="E79" s="4"/>
      <x:c r="F79" s="4"/>
      <x:c r="G79" s="4"/>
      <x:c r="H79" s="4"/>
      <x:c r="I79" s="4"/>
      <x:c r="J79" s="4"/>
      <x:c r="K79" s="4"/>
    </x:row>
    <x:row r="80" ht="38" customHeight="1">
      <x:c r="A80" s="1"/>
      <x:c r="B80" s="1"/>
      <x:c r="C80" s="4" t="str">
        <x:v>https://www.labdepotinc.com/bmt-climacell-evo-temperature-and-humidity-controlled-climate-chambers</x:v>
      </x:c>
      <x:c r="D80" s="4"/>
      <x:c r="E80" s="4"/>
      <x:c r="F80" s="4"/>
      <x:c r="G80" s="4"/>
      <x:c r="H80" s="4"/>
      <x:c r="I80" s="4"/>
      <x:c r="J80" s="4"/>
      <x:c r="K80" s="4"/>
    </x:row>
    <x:row r="81" ht="55" customHeight="1">
      <x:c r="A81" s="1"/>
      <x:c r="B81" s="1"/>
      <x:c r="C81" s="4" t="str">
        <x:v>222 L MC001665 listed at $30,047.54. H allows $35,000 plus conditioning hardware. Chamber load, ports and temperature/RH operating envelope require supplier confirmation.</x:v>
      </x:c>
      <x:c r="D81" s="4"/>
      <x:c r="E81" s="4"/>
      <x:c r="F81" s="4"/>
      <x:c r="G81" s="4"/>
      <x:c r="H81" s="4"/>
      <x:c r="I81" s="4"/>
      <x:c r="J81" s="4"/>
      <x:c r="K81" s="4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38" customHeight="1">
      <x:c r="A83" s="1"/>
      <x:c r="B83" s="1"/>
      <x:c r="C83" s="4" t="str">
        <x:v>B10 • Washington State Department of Revenue • Local Sales &amp; Use Tax Rates: Quarter 3, 2026 • July 1–September 30, 2026</x:v>
      </x:c>
      <x:c r="D83" s="4"/>
      <x:c r="E83" s="4"/>
      <x:c r="F83" s="4"/>
      <x:c r="G83" s="4"/>
      <x:c r="H83" s="4"/>
      <x:c r="I83" s="4"/>
      <x:c r="J83" s="4"/>
      <x:c r="K83" s="4"/>
    </x:row>
    <x:row r="84" ht="38" customHeight="1">
      <x:c r="A84" s="1"/>
      <x:c r="B84" s="1"/>
      <x:c r="C84" s="4" t="str">
        <x:v>https://dor.wa.gov/sites/default/files/2026-05/Q326_LSU-flyer-by-county.pdf</x:v>
      </x:c>
      <x:c r="D84" s="4"/>
      <x:c r="E84" s="4"/>
      <x:c r="F84" s="4"/>
      <x:c r="G84" s="4"/>
      <x:c r="H84" s="4"/>
      <x:c r="I84" s="4"/>
      <x:c r="J84" s="4"/>
      <x:c r="K84" s="4"/>
    </x:row>
    <x:row r="85" ht="55" customHeight="1">
      <x:c r="A85" s="1"/>
      <x:c r="B85" s="1"/>
      <x:c r="C85" s="4" t="str">
        <x:v>Seattle location 1726 combined sales/use-tax rate 10.55%. Model applies it to purchased goods and their assumed freight, with no exemption. Actual delivery, date and service taxability require host review.</x:v>
      </x:c>
      <x:c r="D85" s="4"/>
      <x:c r="E85" s="4"/>
      <x:c r="F85" s="4"/>
      <x:c r="G85" s="4"/>
      <x:c r="H85" s="4"/>
      <x:c r="I85" s="4"/>
      <x:c r="J85" s="4"/>
      <x:c r="K85" s="4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38" customHeight="1">
      <x:c r="A87" s="1"/>
      <x:c r="B87" s="1"/>
      <x:c r="C87" s="4" t="str">
        <x:v>B11 • University of Washington Research • GIM 13 – Facilities and Administrative (F&amp;A) Rates • Current policy page checked September 9, 2026</x:v>
      </x:c>
      <x:c r="D87" s="4"/>
      <x:c r="E87" s="4"/>
      <x:c r="F87" s="4"/>
      <x:c r="G87" s="4"/>
      <x:c r="H87" s="4"/>
      <x:c r="I87" s="4"/>
      <x:c r="J87" s="4"/>
      <x:c r="K87" s="4"/>
    </x:row>
    <x:row r="88" ht="38" customHeight="1">
      <x:c r="A88" s="1"/>
      <x:c r="B88" s="1"/>
      <x:c r="C88" s="4" t="str">
        <x:v>https://research.washington.edu/research/policies/gim-13/</x:v>
      </x:c>
      <x:c r="D88" s="4"/>
      <x:c r="E88" s="4"/>
      <x:c r="F88" s="4"/>
      <x:c r="G88" s="4"/>
      <x:c r="H88" s="4"/>
      <x:c r="I88" s="4"/>
      <x:c r="J88" s="4"/>
      <x:c r="K88" s="4"/>
    </x:row>
    <x:row r="89" ht="55" customHeight="1">
      <x:c r="A89" s="1"/>
      <x:c r="B89" s="1"/>
      <x:c r="C89" s="4" t="str">
        <x:v>Capital equipment with useful life over one year and acquisition cost of at least $5,000 per unit is excluded from the modeled MTDC base. Each listed equipment assembly is a proposed asset; classification must be confirmed by the host.</x:v>
      </x:c>
      <x:c r="D89" s="4"/>
      <x:c r="E89" s="4"/>
      <x:c r="F89" s="4"/>
      <x:c r="G89" s="4"/>
      <x:c r="H89" s="4"/>
      <x:c r="I89" s="4"/>
      <x:c r="J89" s="4"/>
      <x:c r="K89" s="4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38" customHeight="1">
      <x:c r="A91" s="1"/>
      <x:c r="B91" s="1"/>
      <x:c r="C91" s="4" t="str">
        <x:v>P-COST • Water From Energy • A-H budget assumptions and methods • September 9, 2026</x:v>
      </x:c>
      <x:c r="D91" s="4"/>
      <x:c r="E91" s="4"/>
      <x:c r="F91" s="4"/>
      <x:c r="G91" s="4"/>
      <x:c r="H91" s="4"/>
      <x:c r="I91" s="4"/>
      <x:c r="J91" s="4"/>
      <x:c r="K91" s="4"/>
    </x:row>
    <x:row r="92" ht="38" customHeight="1">
      <x:c r="A92" s="1"/>
      <x:c r="B92" s="1"/>
      <x:c r="C92" s="4" t="str">
        <x:v>research-costs.html</x:v>
      </x:c>
      <x:c r="D92" s="4"/>
      <x:c r="E92" s="4"/>
      <x:c r="F92" s="4"/>
      <x:c r="G92" s="4"/>
      <x:c r="H92" s="4"/>
      <x:c r="I92" s="4"/>
      <x:c r="J92" s="4"/>
      <x:c r="K92" s="4"/>
    </x:row>
    <x:row r="93" ht="55" customHeight="1">
      <x:c r="A93" s="1"/>
      <x:c r="B93" s="1"/>
      <x:c r="C93" s="4" t="str">
        <x:v>Project-authored quantities, engineering allowances, scenario multipliers, 5% goods freight, QC allowances, salary escalation and risk reserve. These are estimates and decisions to be reviewed, not external findings or supplier quotes.</x:v>
      </x:c>
      <x:c r="D93" s="4"/>
      <x:c r="E93" s="4"/>
      <x:c r="F93" s="4"/>
      <x:c r="G93" s="4"/>
      <x:c r="H93" s="4"/>
      <x:c r="I93" s="4"/>
      <x:c r="J93" s="4"/>
      <x:c r="K93" s="4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38" customHeight="1">
      <x:c r="A95" s="1"/>
      <x:c r="B95" s="1"/>
      <x:c r="C95" s="4" t="str">
        <x:v>P-UNIFY • Water From Energy • Study resource assumptions • September 9, 2026</x:v>
      </x:c>
      <x:c r="D95" s="4"/>
      <x:c r="E95" s="4"/>
      <x:c r="F95" s="4"/>
      <x:c r="G95" s="4"/>
      <x:c r="H95" s="4"/>
      <x:c r="I95" s="4"/>
      <x:c r="J95" s="4"/>
      <x:c r="K95" s="4"/>
    </x:row>
    <x:row r="96" ht="38" customHeight="1">
      <x:c r="A96" s="1"/>
      <x:c r="B96" s="1"/>
      <x:c r="C96" s="4" t="str">
        <x:v>research-costs.html#unification</x:v>
      </x:c>
      <x:c r="D96" s="4"/>
      <x:c r="E96" s="4"/>
      <x:c r="F96" s="4"/>
      <x:c r="G96" s="4"/>
      <x:c r="H96" s="4"/>
      <x:c r="I96" s="4"/>
      <x:c r="J96" s="4"/>
      <x:c r="K96" s="4"/>
    </x:row>
    <x:row r="97" ht="55" customHeight="1">
      <x:c r="A97" s="1"/>
      <x:c r="B97" s="1"/>
      <x:c r="C97" s="4" t="str">
        <x:v>Staffing, analytical capacity and item quantities are project planning allowances. They require scientific and host review, a final sampling allocation and supplier quotes. All eight studies use shared rate benchmarks and calculation rules.</x:v>
      </x:c>
      <x:c r="D97" s="4"/>
      <x:c r="E97" s="4"/>
      <x:c r="F97" s="4"/>
      <x:c r="G97" s="4"/>
      <x:c r="H97" s="4"/>
      <x:c r="I97" s="4"/>
      <x:c r="J97" s="4"/>
      <x:c r="K97" s="4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2" customHeight="1">
      <x:c r="A100" s="1"/>
      <x:c r="B100" s="1"/>
      <x:c r="C100" s="33" t="str">
        <x:v>RESEARCH REQUIREMENTS AND COST ASSUMPTIONS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46" customHeight="1">
      <x:c r="A101" s="1"/>
      <x:c r="B101" s="1"/>
      <x:c r="C101" s="4" t="str">
        <x:v>Research sources S01–S24 and N01–N36 inform the proposed tests. B01–B11 support shared cost rates; P-COST and P-UNIFY identify project planning allowances. Detailed source notes are on each study sheet.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46" customHeight="1">
      <x:c r="A102" s="1"/>
      <x:c r="B102" s="1"/>
      <x:c r="C102" s="4" t="str">
        <x:v>Source-specific contaminant panels, extra control arms, product finishing, host access and field extensions require scope decisions and quotes. The reserve is not evidence that these costs are covered.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46" customHeight="1">
      <x:c r="A103" s="1"/>
      <x:c r="B103" s="1"/>
      <x:c r="C103" s="4" t="str">
        <x:v>https://waterfromenergy.com/research-review.html#references</x:v>
      </x:c>
      <x:c r="D103" s="4"/>
      <x:c r="E103" s="4"/>
      <x:c r="F103" s="4"/>
      <x:c r="G103" s="4"/>
      <x:c r="H103" s="4"/>
      <x:c r="I103" s="4"/>
      <x:c r="J103" s="4"/>
      <x:c r="K103" s="4"/>
    </x:row>
    <x:row r="104">
      <x:c r="A104" s="1"/>
      <x:c r="B104" s="1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>
      <x:c r="A105" s="1"/>
      <x:c r="B105" s="1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>
      <x:c r="A106" s="1"/>
      <x:c r="B106" s="1"/>
      <x:c r="C106" s="2"/>
      <x:c r="D106" s="2"/>
      <x:c r="E106" s="2"/>
      <x:c r="F106" s="2"/>
      <x:c r="G106" s="2"/>
      <x:c r="H106" s="2"/>
      <x:c r="I106" s="2"/>
      <x:c r="J106" s="2"/>
      <x:c r="K106" s="2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>
      <x:c r="A108" s="1"/>
      <x:c r="B108" s="1"/>
      <x:c r="C108" s="2"/>
      <x:c r="D108" s="2"/>
      <x:c r="E108" s="2"/>
      <x:c r="F108" s="2"/>
      <x:c r="G108" s="2"/>
      <x:c r="H108" s="2"/>
      <x:c r="I108" s="2"/>
      <x:c r="J108" s="2"/>
      <x:c r="K108" s="2"/>
    </x:row>
    <x:row r="109">
      <x:c r="A109" s="1"/>
      <x:c r="B109" s="1"/>
      <x:c r="C109" s="2"/>
      <x:c r="D109" s="2"/>
      <x:c r="E109" s="2"/>
      <x:c r="F109" s="2"/>
      <x:c r="G109" s="2"/>
      <x:c r="H109" s="2"/>
      <x:c r="I109" s="2"/>
      <x:c r="J109" s="2"/>
      <x:c r="K109" s="2"/>
    </x:row>
    <x:row r="110">
      <x:c r="A110" s="1"/>
      <x:c r="B110" s="1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>
      <x:c r="A111" s="1"/>
      <x:c r="B111" s="1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>
      <x:c r="A121" s="1"/>
      <x:c r="B121" s="1"/>
      <x:c r="C121" s="2"/>
      <x:c r="D121" s="2"/>
      <x:c r="E121" s="2"/>
      <x:c r="F121" s="2"/>
      <x:c r="G121" s="2"/>
      <x:c r="H121" s="2"/>
      <x:c r="I121" s="2"/>
      <x:c r="J121" s="2"/>
      <x:c r="K121" s="2"/>
    </x:row>
    <x:row r="122">
      <x:c r="A122" s="1"/>
      <x:c r="B122" s="1"/>
      <x:c r="C122" s="2"/>
      <x:c r="D122" s="2"/>
      <x:c r="E122" s="2"/>
      <x:c r="F122" s="2"/>
      <x:c r="G122" s="2"/>
      <x:c r="H122" s="2"/>
      <x:c r="I122" s="2"/>
      <x:c r="J122" s="2"/>
      <x:c r="K122" s="2"/>
    </x:row>
    <x:row r="123">
      <x:c r="A123" s="1"/>
      <x:c r="B123" s="1"/>
      <x:c r="C123" s="2"/>
      <x:c r="D123" s="2"/>
      <x:c r="E123" s="2"/>
      <x:c r="F123" s="2"/>
      <x:c r="G123" s="2"/>
      <x:c r="H123" s="2"/>
      <x:c r="I123" s="2"/>
      <x:c r="J123" s="2"/>
      <x:c r="K123" s="2"/>
    </x:row>
    <x:row r="124">
      <x:c r="A124" s="1"/>
      <x:c r="B124" s="1"/>
      <x:c r="C124" s="2"/>
      <x:c r="D124" s="2"/>
      <x:c r="E124" s="2"/>
      <x:c r="F124" s="2"/>
      <x:c r="G124" s="2"/>
      <x:c r="H124" s="2"/>
      <x:c r="I124" s="2"/>
      <x:c r="J124" s="2"/>
      <x:c r="K124" s="2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3:K3"/>
    <x:mergeCell ref="C20:K20"/>
    <x:mergeCell ref="C32:K32"/>
    <x:mergeCell ref="C44:K44"/>
    <x:mergeCell ref="C47:K47"/>
    <x:mergeCell ref="C48:K48"/>
    <x:mergeCell ref="C49:K49"/>
    <x:mergeCell ref="C51:K51"/>
    <x:mergeCell ref="C52:K52"/>
    <x:mergeCell ref="C53:K53"/>
    <x:mergeCell ref="C55:K55"/>
    <x:mergeCell ref="C56:K56"/>
    <x:mergeCell ref="C57:K57"/>
    <x:mergeCell ref="C59:K59"/>
    <x:mergeCell ref="C60:K60"/>
    <x:mergeCell ref="C61:K61"/>
    <x:mergeCell ref="C63:K63"/>
    <x:mergeCell ref="C64:K64"/>
    <x:mergeCell ref="C65:K65"/>
    <x:mergeCell ref="C67:K67"/>
    <x:mergeCell ref="C68:K68"/>
    <x:mergeCell ref="C69:K69"/>
    <x:mergeCell ref="C71:K71"/>
    <x:mergeCell ref="C72:K72"/>
    <x:mergeCell ref="C73:K73"/>
    <x:mergeCell ref="C75:K75"/>
    <x:mergeCell ref="C76:K76"/>
    <x:mergeCell ref="C77:K77"/>
    <x:mergeCell ref="C79:K79"/>
    <x:mergeCell ref="C80:K80"/>
    <x:mergeCell ref="C81:K81"/>
    <x:mergeCell ref="C83:K83"/>
    <x:mergeCell ref="C84:K84"/>
    <x:mergeCell ref="C85:K85"/>
    <x:mergeCell ref="C87:K87"/>
    <x:mergeCell ref="C88:K88"/>
    <x:mergeCell ref="C89:K89"/>
    <x:mergeCell ref="C91:K91"/>
    <x:mergeCell ref="C92:K92"/>
    <x:mergeCell ref="C93:K93"/>
    <x:mergeCell ref="C95:K95"/>
    <x:mergeCell ref="C96:K96"/>
    <x:mergeCell ref="C97:K97"/>
    <x:mergeCell ref="C100:K100"/>
    <x:mergeCell ref="C101:K101"/>
    <x:mergeCell ref="C102:K102"/>
    <x:mergeCell ref="C103:K103"/>
  </x:mergeCells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A • Diagnose the cause of mineral buildup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12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72 development assay vessels; 36 confirmation campaigns of three decision cycles; 216 diagnostic vessels within the proposed-policy campaigns; 18 downstream RO compatibility runs. 1,368 principal panel equivalents.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12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32476.800000000003</x:v>
      </x:c>
      <x:c r="I8" s="17" t="n">
        <x:f>H8*(1+J8)</x:f>
        <x:v>42999.283200000005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12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131886</x:v>
      </x:c>
      <x:c r="I9" s="17" t="n">
        <x:f>H9*(1+J9)</x:f>
        <x:v>174617.064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0.75</x:v>
      </x:c>
      <x:c r="E10" s="2" t="n">
        <x:f>IF(AND(ISNUMBER($D$4),$D$4&gt;0),$D$4,NA())</x:f>
        <x:v>12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79821</x:v>
      </x:c>
      <x:c r="I10" s="17" t="n">
        <x:f>H10*(1+J10)</x:f>
        <x:v>105683.004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12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57954</x:v>
      </x:c>
      <x:c r="I11" s="17" t="n">
        <x:f>H11*(1+J11)</x:f>
        <x:v>79686.75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12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15743.699999999999</x:v>
      </x:c>
      <x:c r="I12" s="17" t="n">
        <x:f>H12*(1+J12)</x:f>
        <x:v>20844.6588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12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135200</x:v>
      </x:c>
      <x:c r="I13" s="17" t="n">
        <x:f>H13*(1+J13)</x:f>
        <x:v>179004.80000000002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602835.56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1368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219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1677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377325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Matched crystallization and crossed-assay bench</x:v>
      </x:c>
      <x:c r="D28" s="20" t="n">
        <x:v>1</x:v>
      </x:c>
      <x:c r="E28" s="20" t="str">
        <x:v>equipment</x:v>
      </x:c>
      <x:c r="F28" s="21" t="n">
        <x:v>18000</x:v>
      </x:c>
      <x:c r="G28" s="22" t="n">
        <x:f>IF(COUNT(F28)=1,F28*IF(E28="equipment",Inputs!D9,Inputs!D10),NA())</x:f>
        <x:v>18000</x:v>
      </x:c>
      <x:c r="H28" s="22" t="n">
        <x:f>G28*IF(OR(E28="equipment",E28="goods"),(1+Inputs!D18)*(1+Inputs!D17),1)</x:f>
        <x:v>20893.949999999997</x:v>
      </x:c>
      <x:c r="I28" s="23" t="n">
        <x:f>IF(COUNT(D28)=1,D28*H28,NA())</x:f>
        <x:v>20893.949999999997</x:v>
      </x:c>
      <x:c r="J28" s="23" t="n">
        <x:f>IF(AND(E28="equipment",H28&gt;=5000),I28,0)</x:f>
        <x:v>20893.949999999997</x:v>
      </x:c>
      <x:c r="K28" s="4" t="str">
        <x:v>P-COST</x:v>
      </x:c>
    </x:row>
    <x:row r="29" ht="30" customHeight="1">
      <x:c r="A29" s="1"/>
      <x:c r="B29" s="1"/>
      <x:c r="C29" s="4" t="str">
        <x:v>Matched membrane scale-challenge assembly</x:v>
      </x:c>
      <x:c r="D29" s="20" t="n">
        <x:v>1</x:v>
      </x:c>
      <x:c r="E29" s="20" t="str">
        <x:v>equipment</x:v>
      </x:c>
      <x:c r="F29" s="21" t="n">
        <x:v>18000</x:v>
      </x:c>
      <x:c r="G29" s="22" t="n">
        <x:f>IF(COUNT(F29)=1,F29*IF(E29="equipment",Inputs!D9,Inputs!D10),NA())</x:f>
        <x:v>18000</x:v>
      </x:c>
      <x:c r="H29" s="22" t="n">
        <x:f>G29*IF(OR(E29="equipment",E29="goods"),(1+Inputs!D18)*(1+Inputs!D17),1)</x:f>
        <x:v>20893.949999999997</x:v>
      </x:c>
      <x:c r="I29" s="23" t="n">
        <x:f>IF(COUNT(D29)=1,D29*H29,NA())</x:f>
        <x:v>20893.949999999997</x:v>
      </x:c>
      <x:c r="J29" s="23" t="n">
        <x:f>IF(AND(E29="equipment",H29&gt;=5000),I29,0)</x:f>
        <x:v>20893.949999999997</x:v>
      </x:c>
      <x:c r="K29" s="4" t="str">
        <x:v>P-UNIFY</x:v>
      </x:c>
    </x:row>
    <x:row r="30" ht="30" customHeight="1">
      <x:c r="A30" s="1"/>
      <x:c r="B30" s="1"/>
      <x:c r="C30" s="4" t="str">
        <x:v>Temperature circulator</x:v>
      </x:c>
      <x:c r="D30" s="20" t="n">
        <x:v>2</x:v>
      </x:c>
      <x:c r="E30" s="20" t="str">
        <x:v>equipment</x:v>
      </x:c>
      <x:c r="F30" s="21" t="n">
        <x:v>7199</x:v>
      </x:c>
      <x:c r="G30" s="22" t="n">
        <x:f>IF(COUNT(F30)=1,F30*IF(E30="equipment",Inputs!D9,Inputs!D10),NA())</x:f>
        <x:v>7199</x:v>
      </x:c>
      <x:c r="H30" s="22" t="n">
        <x:f>G30*IF(OR(E30="equipment",E30="goods"),(1+Inputs!D18)*(1+Inputs!D17),1)</x:f>
        <x:v>8356.419225</x:v>
      </x:c>
      <x:c r="I30" s="23" t="n">
        <x:f>IF(COUNT(D30)=1,D30*H30,NA())</x:f>
        <x:v>16712.83845</x:v>
      </x:c>
      <x:c r="J30" s="23" t="n">
        <x:f>IF(AND(E30="equipment",H30&gt;=5000),I30,0)</x:f>
        <x:v>16712.83845</x:v>
      </x:c>
      <x:c r="K30" s="4" t="str">
        <x:v>B08</x:v>
      </x:c>
    </x:row>
    <x:row r="31" ht="30" customHeight="1">
      <x:c r="A31" s="1"/>
      <x:c r="B31" s="1"/>
      <x:c r="C31" s="4" t="str">
        <x:v>Seed separation, purge and qualified conditioning assembly</x:v>
      </x:c>
      <x:c r="D31" s="20" t="n">
        <x:v>1</x:v>
      </x:c>
      <x:c r="E31" s="20" t="str">
        <x:v>equipment</x:v>
      </x:c>
      <x:c r="F31" s="21" t="n">
        <x:v>12000</x:v>
      </x:c>
      <x:c r="G31" s="22" t="n">
        <x:f>IF(COUNT(F31)=1,F31*IF(E31="equipment",Inputs!D9,Inputs!D10),NA())</x:f>
        <x:v>12000</x:v>
      </x:c>
      <x:c r="H31" s="22" t="n">
        <x:f>G31*IF(OR(E31="equipment",E31="goods"),(1+Inputs!D18)*(1+Inputs!D17),1)</x:f>
        <x:v>13929.3</x:v>
      </x:c>
      <x:c r="I31" s="23" t="n">
        <x:f>IF(COUNT(D31)=1,D31*H31,NA())</x:f>
        <x:v>13929.3</x:v>
      </x:c>
      <x:c r="J31" s="23" t="n">
        <x:f>IF(AND(E31="equipment",H31&gt;=5000),I31,0)</x:f>
        <x:v>13929.3</x:v>
      </x:c>
      <x:c r="K31" s="4" t="str">
        <x:v>P-COST</x:v>
      </x:c>
    </x:row>
    <x:row r="32" ht="30" customHeight="1">
      <x:c r="A32" s="1"/>
      <x:c r="B32" s="1"/>
      <x:c r="C32" s="4" t="str">
        <x:v>Balance, flow, pressure and conductivity DAQ</x:v>
      </x:c>
      <x:c r="D32" s="20" t="n">
        <x:v>1</x:v>
      </x:c>
      <x:c r="E32" s="20" t="str">
        <x:v>equipment</x:v>
      </x:c>
      <x:c r="F32" s="21" t="n">
        <x:v>16000</x:v>
      </x:c>
      <x:c r="G32" s="22" t="n">
        <x:f>IF(COUNT(F32)=1,F32*IF(E32="equipment",Inputs!D9,Inputs!D10),NA())</x:f>
        <x:v>16000</x:v>
      </x:c>
      <x:c r="H32" s="22" t="n">
        <x:f>G32*IF(OR(E32="equipment",E32="goods"),(1+Inputs!D18)*(1+Inputs!D17),1)</x:f>
        <x:v>18572.399999999998</x:v>
      </x:c>
      <x:c r="I32" s="23" t="n">
        <x:f>IF(COUNT(D32)=1,D32*H32,NA())</x:f>
        <x:v>18572.399999999998</x:v>
      </x:c>
      <x:c r="J32" s="23" t="n">
        <x:f>IF(AND(E32="equipment",H32&gt;=5000),I32,0)</x:f>
        <x:v>18572.399999999998</x:v>
      </x:c>
      <x:c r="K32" s="4" t="str">
        <x:v>P-UNIFY</x:v>
      </x:c>
    </x:row>
    <x:row r="33" ht="30" customHeight="1">
      <x:c r="A33" s="1"/>
      <x:c r="B33" s="1"/>
      <x:c r="C33" s="4" t="str">
        <x:v>Containment and installation supplies</x:v>
      </x:c>
      <x:c r="D33" s="20" t="n">
        <x:v>1</x:v>
      </x:c>
      <x:c r="E33" s="20" t="str">
        <x:v>goods</x:v>
      </x:c>
      <x:c r="F33" s="21" t="n">
        <x:v>6000</x:v>
      </x:c>
      <x:c r="G33" s="22" t="n">
        <x:f>IF(COUNT(F33)=1,F33*IF(E33="equipment",Inputs!D9,Inputs!D10),NA())</x:f>
        <x:v>6000</x:v>
      </x:c>
      <x:c r="H33" s="22" t="n">
        <x:f>G33*IF(OR(E33="equipment",E33="goods"),(1+Inputs!D18)*(1+Inputs!D17),1)</x:f>
        <x:v>6964.65</x:v>
      </x:c>
      <x:c r="I33" s="23" t="n">
        <x:f>IF(COUNT(D33)=1,D33*H33,NA())</x:f>
        <x:v>6964.65</x:v>
      </x:c>
      <x:c r="J33" s="23" t="n">
        <x:f>IF(AND(E33="equipment",H33&gt;=5000),I33,0)</x:f>
        <x:v>0</x:v>
      </x:c>
      <x:c r="K33" s="4" t="str">
        <x:v>P-UNIFY</x:v>
      </x:c>
    </x:row>
    <x:row r="34" ht="30" customHeight="1">
      <x:c r="A34" s="1"/>
      <x:c r="B34" s="1"/>
      <x:c r="C34" s="4" t="str">
        <x:v>Reference solutions, seeds and assay qualification lots</x:v>
      </x:c>
      <x:c r="D34" s="20" t="n">
        <x:v>6</x:v>
      </x:c>
      <x:c r="E34" s="20" t="str">
        <x:v>goods</x:v>
      </x:c>
      <x:c r="F34" s="21" t="n">
        <x:v>2500</x:v>
      </x:c>
      <x:c r="G34" s="22" t="n">
        <x:f>IF(COUNT(F34)=1,F34*IF(E34="equipment",Inputs!D9,Inputs!D10),NA())</x:f>
        <x:v>2500</x:v>
      </x:c>
      <x:c r="H34" s="22" t="n">
        <x:f>G34*IF(OR(E34="equipment",E34="goods"),(1+Inputs!D18)*(1+Inputs!D17),1)</x:f>
        <x:v>2901.9374999999995</x:v>
      </x:c>
      <x:c r="I34" s="23" t="n">
        <x:f>IF(COUNT(D34)=1,D34*H34,NA())</x:f>
        <x:v>17411.624999999996</x:v>
      </x:c>
      <x:c r="J34" s="23" t="n">
        <x:f>IF(AND(E34="equipment",H34&gt;=5000),I34,0)</x:f>
        <x:v>0</x:v>
      </x:c>
      <x:c r="K34" s="4" t="str">
        <x:v>P-COST</x:v>
      </x:c>
    </x:row>
    <x:row r="35" ht="30" customHeight="1">
      <x:c r="A35" s="1"/>
      <x:c r="B35" s="1"/>
      <x:c r="C35" s="4" t="str">
        <x:v>Assay, seed-management and cleaning consumables</x:v>
      </x:c>
      <x:c r="D35" s="20" t="n">
        <x:v>12</x:v>
      </x:c>
      <x:c r="E35" s="20" t="str">
        <x:v>goods</x:v>
      </x:c>
      <x:c r="F35" s="21" t="n">
        <x:v>2000</x:v>
      </x:c>
      <x:c r="G35" s="22" t="n">
        <x:f>IF(COUNT(F35)=1,F35*IF(E35="equipment",Inputs!D9,Inputs!D10),NA())</x:f>
        <x:v>2000</x:v>
      </x:c>
      <x:c r="H35" s="22" t="n">
        <x:f>G35*IF(OR(E35="equipment",E35="goods"),(1+Inputs!D18)*(1+Inputs!D17),1)</x:f>
        <x:v>2321.5499999999997</x:v>
      </x:c>
      <x:c r="I35" s="23" t="n">
        <x:f>IF(COUNT(D35)=1,D35*H35,NA())</x:f>
        <x:v>27858.6</x:v>
      </x:c>
      <x:c r="J35" s="23" t="n">
        <x:f>IF(AND(E35="equipment",H35&gt;=5000),I35,0)</x:f>
        <x:v>0</x:v>
      </x:c>
      <x:c r="K35" s="4" t="str">
        <x:v>P-COST</x:v>
      </x:c>
    </x:row>
    <x:row r="36" ht="30" customHeight="1">
      <x:c r="A36" s="1"/>
      <x:c r="B36" s="1"/>
      <x:c r="C36" s="4" t="str">
        <x:v>Real feed collection / transport</x:v>
      </x:c>
      <x:c r="D36" s="20" t="n">
        <x:v>9</x:v>
      </x:c>
      <x:c r="E36" s="20" t="str">
        <x:v>service</x:v>
      </x:c>
      <x:c r="F36" s="21" t="n">
        <x:v>600</x:v>
      </x:c>
      <x:c r="G36" s="22" t="n">
        <x:f>IF(COUNT(F36)=1,F36*IF(E36="equipment",Inputs!D9,Inputs!D10),NA())</x:f>
        <x:v>600</x:v>
      </x:c>
      <x:c r="H36" s="22" t="n">
        <x:f>G36*IF(OR(E36="equipment",E36="goods"),(1+Inputs!D18)*(1+Inputs!D17),1)</x:f>
        <x:v>600</x:v>
      </x:c>
      <x:c r="I36" s="23" t="n">
        <x:f>IF(COUNT(D36)=1,D36*H36,NA())</x:f>
        <x:v>5400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Deposit XRD / microscopy characterization</x:v>
      </x:c>
      <x:c r="D37" s="20" t="n">
        <x:v>72</x:v>
      </x:c>
      <x:c r="E37" s="20" t="str">
        <x:v>service</x:v>
      </x:c>
      <x:c r="F37" s="21" t="n">
        <x:v>180</x:v>
      </x:c>
      <x:c r="G37" s="22" t="n">
        <x:f>IF(COUNT(F37)=1,F37*IF(E37="equipment",Inputs!D9,Inputs!D10),NA())</x:f>
        <x:v>180</x:v>
      </x:c>
      <x:c r="H37" s="22" t="n">
        <x:f>G37*IF(OR(E37="equipment",E37="goods"),(1+Inputs!D18)*(1+Inputs!D17),1)</x:f>
        <x:v>180</x:v>
      </x:c>
      <x:c r="I37" s="23" t="n">
        <x:f>IF(COUNT(D37)=1,D37*H37,NA())</x:f>
        <x:v>12960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Reference-liquid, inhibitor and kinetic assay qualification</x:v>
      </x:c>
      <x:c r="D38" s="20" t="n">
        <x:v>100</x:v>
      </x:c>
      <x:c r="E38" s="20" t="str">
        <x:v>service</x:v>
      </x:c>
      <x:c r="F38" s="21" t="n">
        <x:v>150</x:v>
      </x:c>
      <x:c r="G38" s="22" t="n">
        <x:f>IF(COUNT(F38)=1,F38*IF(E38="equipment",Inputs!D9,Inputs!D10),NA())</x:f>
        <x:v>150</x:v>
      </x:c>
      <x:c r="H38" s="22" t="n">
        <x:f>G38*IF(OR(E38="equipment",E38="goods"),(1+Inputs!D18)*(1+Inputs!D17),1)</x:f>
        <x:v>150</x:v>
      </x:c>
      <x:c r="I38" s="23" t="n">
        <x:f>IF(COUNT(D38)=1,D38*H38,NA())</x:f>
        <x:v>15000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Independent diagnostic/action and normalization review</x:v>
      </x:c>
      <x:c r="D39" s="20" t="n">
        <x:v>80</x:v>
      </x:c>
      <x:c r="E39" s="20" t="str">
        <x:v>service</x:v>
      </x:c>
      <x:c r="F39" s="21" t="n">
        <x:v>150</x:v>
      </x:c>
      <x:c r="G39" s="22" t="n">
        <x:f>IF(COUNT(F39)=1,F39*IF(E39="equipment",Inputs!D9,Inputs!D10),NA())</x:f>
        <x:v>150</x:v>
      </x:c>
      <x:c r="H39" s="22" t="n">
        <x:f>G39*IF(OR(E39="equipment",E39="goods"),(1+Inputs!D18)*(1+Inputs!D17),1)</x:f>
        <x:v>150</x:v>
      </x:c>
      <x:c r="I39" s="23" t="n">
        <x:f>IF(COUNT(D39)=1,D39*H39,NA())</x:f>
        <x:v>12000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Specialist fabrication / commissioning</x:v>
      </x:c>
      <x:c r="D40" s="20" t="n">
        <x:v>100</x:v>
      </x:c>
      <x:c r="E40" s="20" t="str">
        <x:v>service</x:v>
      </x:c>
      <x:c r="F40" s="21" t="n">
        <x:v>125</x:v>
      </x:c>
      <x:c r="G40" s="22" t="n">
        <x:f>IF(COUNT(F40)=1,F40*IF(E40="equipment",Inputs!D9,Inputs!D10),NA())</x:f>
        <x:v>125</x:v>
      </x:c>
      <x:c r="H40" s="22" t="n">
        <x:f>G40*IF(OR(E40="equipment",E40="goods"),(1+Inputs!D18)*(1+Inputs!D17),1)</x:f>
        <x:v>125</x:v>
      </x:c>
      <x:c r="I40" s="23" t="n">
        <x:f>IF(COUNT(D40)=1,D40*H40,NA())</x:f>
        <x:v>12500</x:v>
      </x:c>
      <x:c r="J40" s="23" t="n">
        <x:f>IF(AND(E40="equipment",H40&gt;=5000),I40,0)</x:f>
        <x:v>0</x:v>
      </x:c>
      <x:c r="K40" s="4" t="str">
        <x:v>P-UNIFY</x:v>
      </x:c>
    </x:row>
    <x:row r="41" ht="30" customHeight="1">
      <x:c r="A41" s="1"/>
      <x:c r="B41" s="1"/>
      <x:c r="C41" s="4" t="str">
        <x:v>Residual packaging and disposal</x:v>
      </x:c>
      <x:c r="D41" s="20" t="n">
        <x:v>12</x:v>
      </x:c>
      <x:c r="E41" s="20" t="str">
        <x:v>service</x:v>
      </x:c>
      <x:c r="F41" s="21" t="n">
        <x:v>600</x:v>
      </x:c>
      <x:c r="G41" s="22" t="n">
        <x:f>IF(COUNT(F41)=1,F41*IF(E41="equipment",Inputs!D9,Inputs!D10),NA())</x:f>
        <x:v>600</x:v>
      </x:c>
      <x:c r="H41" s="22" t="n">
        <x:f>G41*IF(OR(E41="equipment",E41="goods"),(1+Inputs!D18)*(1+Inputs!D17),1)</x:f>
        <x:v>600</x:v>
      </x:c>
      <x:c r="I41" s="23" t="n">
        <x:f>IF(COUNT(D41)=1,D41*H41,NA())</x:f>
        <x:v>7200</x:v>
      </x:c>
      <x:c r="J41" s="23" t="n">
        <x:f>IF(AND(E41="equipment",H41&gt;=5000),I41,0)</x:f>
        <x:v>0</x:v>
      </x:c>
      <x:c r="K41" s="4" t="str">
        <x:v>P-UNIFY</x:v>
      </x:c>
    </x:row>
    <x:row r="42" ht="30" customHeight="1">
      <x:c r="A42" s="1"/>
      <x:c r="B42" s="1"/>
      <x:c r="C42" s="4" t="str">
        <x:v>Replacement parts and calibration standards</x:v>
      </x:c>
      <x:c r="D42" s="20" t="n">
        <x:v>1</x:v>
      </x:c>
      <x:c r="E42" s="20" t="str">
        <x:v>goods</x:v>
      </x:c>
      <x:c r="F42" s="21" t="n">
        <x:v>6000</x:v>
      </x:c>
      <x:c r="G42" s="22" t="n">
        <x:f>IF(COUNT(F42)=1,F42*IF(E42="equipment",Inputs!D9,Inputs!D10),NA())</x:f>
        <x:v>6000</x:v>
      </x:c>
      <x:c r="H42" s="22" t="n">
        <x:f>G42*IF(OR(E42="equipment",E42="goods"),(1+Inputs!D18)*(1+Inputs!D17),1)</x:f>
        <x:v>6964.65</x:v>
      </x:c>
      <x:c r="I42" s="23" t="n">
        <x:f>IF(COUNT(D42)=1,D42*H42,NA())</x:f>
        <x:v>6964.65</x:v>
      </x:c>
      <x:c r="J42" s="23" t="n">
        <x:f>IF(AND(E42="equipment",H42&gt;=5000),I42,0)</x:f>
        <x:v>0</x:v>
      </x:c>
      <x:c r="K42" s="4" t="str">
        <x:v>P-UNIFY</x:v>
      </x:c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>
      <x:c r="A44" s="1"/>
      <x:c r="B44" s="1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32" customHeight="1">
      <x:c r="A45" s="1"/>
      <x:c r="B45" s="1"/>
      <x:c r="C45" s="9" t="str">
        <x:v>Funding build</x:v>
      </x:c>
      <x:c r="D45" s="9" t="str"/>
      <x:c r="E45" s="9" t="str"/>
      <x:c r="F45" s="9" t="str"/>
      <x:c r="G45" s="9" t="str"/>
      <x:c r="H45" s="9" t="str"/>
      <x:c r="I45" s="9" t="str">
        <x:v>Amount</x:v>
      </x:c>
      <x:c r="J45" s="9" t="str"/>
      <x:c r="K45" s="9" t="str"/>
    </x:row>
    <x:row r="46">
      <x:c r="A46" s="1"/>
      <x:c r="B46" s="1"/>
      <x:c r="C46" s="2" t="str">
        <x:v>Other direct costs</x:v>
      </x:c>
      <x:c r="D46" s="2"/>
      <x:c r="E46" s="2"/>
      <x:c r="F46" s="2"/>
      <x:c r="G46" s="2"/>
      <x:c r="H46" s="2"/>
      <x:c r="I46" s="17" t="n">
        <x:f>SUM(I28:I42)</x:f>
        <x:v>215261.96344999998</x:v>
      </x:c>
      <x:c r="J46" s="2"/>
      <x:c r="K46" s="2"/>
    </x:row>
    <x:row r="47">
      <x:c r="A47" s="1"/>
      <x:c r="B47" s="1"/>
      <x:c r="C47" s="2" t="str">
        <x:v>Total direct costs</x:v>
      </x:c>
      <x:c r="D47" s="2"/>
      <x:c r="E47" s="2"/>
      <x:c r="F47" s="2"/>
      <x:c r="G47" s="2"/>
      <x:c r="H47" s="2"/>
      <x:c r="I47" s="17" t="n">
        <x:f>I15+I24+I46</x:f>
        <x:v>1195422.52345</x:v>
      </x:c>
      <x:c r="J47" s="2"/>
      <x:c r="K47" s="2"/>
    </x:row>
    <x:row r="48">
      <x:c r="A48" s="1"/>
      <x:c r="B48" s="1"/>
      <x:c r="C48" s="2" t="str">
        <x:v>Equipment excluded from MTDC</x:v>
      </x:c>
      <x:c r="D48" s="2"/>
      <x:c r="E48" s="2"/>
      <x:c r="F48" s="2"/>
      <x:c r="G48" s="2"/>
      <x:c r="H48" s="2"/>
      <x:c r="I48" s="17" t="n">
        <x:f>SUM(J28:J42)</x:f>
        <x:v>91002.43844999999</x:v>
      </x:c>
      <x:c r="J48" s="2"/>
      <x:c r="K48" s="2"/>
    </x:row>
    <x:row r="49">
      <x:c r="A49" s="1"/>
      <x:c r="B49" s="1"/>
      <x:c r="C49" s="2" t="str">
        <x:v>Modified direct-cost base</x:v>
      </x:c>
      <x:c r="D49" s="2"/>
      <x:c r="E49" s="2"/>
      <x:c r="F49" s="2"/>
      <x:c r="G49" s="2"/>
      <x:c r="H49" s="2"/>
      <x:c r="I49" s="17" t="n">
        <x:f>I47-I48</x:f>
        <x:v>1104420.085</x:v>
      </x:c>
      <x:c r="J49" s="2"/>
      <x:c r="K49" s="2"/>
    </x:row>
    <x:row r="50">
      <x:c r="A50" s="1"/>
      <x:c r="B50" s="1"/>
      <x:c r="C50" s="2" t="str">
        <x:v>Institutional cost / F&amp;A</x:v>
      </x:c>
      <x:c r="D50" s="2"/>
      <x:c r="E50" s="2"/>
      <x:c r="F50" s="2"/>
      <x:c r="G50" s="2"/>
      <x:c r="H50" s="2"/>
      <x:c r="I50" s="18" t="n">
        <x:f>I49*Inputs!D15</x:f>
        <x:v>612953.147175</x:v>
      </x:c>
      <x:c r="J50" s="2"/>
      <x:c r="K50" s="2"/>
    </x:row>
    <x:row r="51">
      <x:c r="A51" s="1"/>
      <x:c r="B51" s="1"/>
      <x:c r="C51" s="2" t="str">
        <x:v>Direct plus institutional</x:v>
      </x:c>
      <x:c r="D51" s="2"/>
      <x:c r="E51" s="2"/>
      <x:c r="F51" s="2"/>
      <x:c r="G51" s="2"/>
      <x:c r="H51" s="2"/>
      <x:c r="I51" s="17" t="n">
        <x:f>I47+I50</x:f>
        <x:v>1808375.670625</x:v>
      </x:c>
      <x:c r="J51" s="2"/>
      <x:c r="K51" s="2"/>
    </x:row>
    <x:row r="52">
      <x:c r="A52" s="1"/>
      <x:c r="B52" s="1"/>
      <x:c r="C52" s="2" t="str">
        <x:v>Risk reserve</x:v>
      </x:c>
      <x:c r="D52" s="2"/>
      <x:c r="E52" s="2"/>
      <x:c r="F52" s="2"/>
      <x:c r="G52" s="2"/>
      <x:c r="H52" s="2"/>
      <x:c r="I52" s="18" t="n">
        <x:f>I51*Inputs!D16</x:f>
        <x:v>271256.35059375</x:v>
      </x:c>
      <x:c r="J52" s="2"/>
      <x:c r="K52" s="2"/>
    </x:row>
    <x:row r="53">
      <x:c r="A53" s="1"/>
      <x:c r="B53" s="1"/>
      <x:c r="C53" s="8" t="str">
        <x:v>PRELIMINARY FUNDING ENVELOPE</x:v>
      </x:c>
      <x:c r="D53" s="8"/>
      <x:c r="E53" s="8"/>
      <x:c r="F53" s="8"/>
      <x:c r="G53" s="8"/>
      <x:c r="H53" s="8"/>
      <x:c r="I53" s="25" t="n">
        <x:f>SUM(I51:I52)</x:f>
        <x:v>2079632.0212187502</x:v>
      </x:c>
      <x:c r="J53" s="8"/>
      <x:c r="K53" s="8"/>
    </x:row>
    <x:row r="54">
      <x:c r="A54" s="1"/>
      <x:c r="B54" s="1"/>
      <x:c r="C54" s="2"/>
      <x:c r="D54" s="2"/>
      <x:c r="E54" s="2"/>
      <x:c r="F54" s="2"/>
      <x:c r="G54" s="2"/>
      <x:c r="H54" s="2"/>
      <x:c r="I54" s="2"/>
      <x:c r="J54" s="2"/>
      <x:c r="K54" s="2"/>
    </x:row>
    <x:row r="55">
      <x:c r="A55" s="1"/>
      <x:c r="B55" s="1"/>
      <x:c r="C55" s="2" t="str">
        <x:v>Reconciliation difference (must be zero)</x:v>
      </x:c>
      <x:c r="D55" s="2"/>
      <x:c r="E55" s="2"/>
      <x:c r="F55" s="2"/>
      <x:c r="G55" s="2"/>
      <x:c r="H55" s="2"/>
      <x:c r="I55" s="17" t="n">
        <x:f>ROUND(I53-I15-I24-I46-I50-I52,2)</x:f>
        <x:v>0</x:v>
      </x:c>
      <x:c r="J55" s="2"/>
      <x:c r="K55" s="2"/>
    </x:row>
    <x:row r="56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</x:row>
    <x:row r="57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54" customHeight="1">
      <x:c r="A58" s="1"/>
      <x:c r="B58" s="1"/>
      <x:c r="C58" s="4" t="str">
        <x:v>A gypsum-limited brackish RO concentrate, interpretable liquid/seed reference assay, different feasible best actions, and a qualified host are required. All quantities are unquoted planning ceilings. Confirmation precision and exact analytical methods require host/scientific review.</x:v>
      </x:c>
      <x:c r="D58" s="4"/>
      <x:c r="E58" s="4"/>
      <x:c r="F58" s="4"/>
      <x:c r="G58" s="4"/>
      <x:c r="H58" s="4"/>
      <x:c r="I58" s="4"/>
      <x:c r="J58" s="4"/>
      <x:c r="K58" s="4"/>
    </x:row>
    <x:row r="59" ht="38" customHeight="1">
      <x:c r="A59" s="1"/>
      <x:c r="B59" s="1"/>
      <x:c r="C59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59" s="4"/>
      <x:c r="E59" s="4"/>
      <x:c r="F59" s="4"/>
      <x:c r="G59" s="4"/>
      <x:c r="H59" s="4"/>
      <x:c r="I59" s="4"/>
      <x:c r="J59" s="4"/>
      <x:c r="K59" s="4"/>
    </x:row>
    <x:row r="60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38" customHeight="1">
      <x:c r="A61" s="1"/>
      <x:c r="B61" s="1"/>
      <x:c r="C61" s="4" t="str">
        <x:v>Row 28 • 1 assembly • Unquoted project assembly allowance for matched liquid/seed assays and controlled kinetic measurements; no magnetic-capture invention is assumed. [P-COST]</x:v>
      </x:c>
      <x:c r="D61" s="4"/>
      <x:c r="E61" s="4"/>
      <x:c r="F61" s="4"/>
      <x:c r="G61" s="4"/>
      <x:c r="H61" s="4"/>
      <x:c r="I61" s="4"/>
      <x:c r="J61" s="4"/>
      <x:c r="K61" s="4"/>
    </x:row>
    <x:row r="62" ht="38" customHeight="1">
      <x:c r="A62" s="1"/>
      <x:c r="B62" s="1"/>
      <x:c r="C62" s="4" t="str">
        <x:v>Row 29 • 1 assembly • Project planning allowance; no quote.  [P-UNIFY]</x:v>
      </x:c>
      <x:c r="D62" s="4"/>
      <x:c r="E62" s="4"/>
      <x:c r="F62" s="4"/>
      <x:c r="G62" s="4"/>
      <x:c r="H62" s="4"/>
      <x:c r="I62" s="4"/>
      <x:c r="J62" s="4"/>
      <x:c r="K62" s="4"/>
    </x:row>
    <x:row r="63" ht="38" customHeight="1">
      <x:c r="A63" s="1"/>
      <x:c r="B63" s="1"/>
      <x:c r="C63" s="4" t="str">
        <x:v>Row 30 • 2 each • Shared component-price anchor; qualify duty and chemistry. [B08]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31 • 1 assembly • Conventional separation and feasible seed conditioning/attrition allowance. Actions require host qualification and equal availability to all policies. [P-COST]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32 • 1 assembly • Project planning allowance; no quote.  [P-UNIFY]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33 • 1 lot • Project planning allowance; no quote.  [P-UNIFY]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34 • 6 lot • Unquoted consumables allowance for reference liquid, seed-state and carryover qualification; not six independent feed collections. [P-COST]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35 • 12 funded month • Twelve funded-month allowances supporting 72 development vessels, 36 three-cycle campaigns, 216 diagnostic vessels and 18 RO runs; excludes billed analytical panels and staff. [P-COST]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36 • 9 collection allowance • Three development and six later independent collections from one gypsum-limited brackish concentrate family; no seawater comparison is priced. [P-COST]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37 • 72 sample-equivalent • Planning allowance for seed/deposit composition and area/size characterization across development and independent campaign blocks; methods and pricing require a quote.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38 • 100 hour • Matrix/reference/inhibitor specificity, carryover and uncertainty qualification, beyond routine panels; $150/hour is a project planning allowance.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39 • 80 hour • Review of strongest kinetics/action baseline, decision margin, blocked inference and downstream RO normalization; no expert commitment. [P-COST]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40 • 100 hour • Project planning allowance; no quote.  [P-UNIFY]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41 • 12 drum-equivalent • Project planning allowance; no quote.  [P-UNIFY]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42 • 1 lot • Project planning allowance; no quote.  [P-UNIFY]</x:v>
      </x:c>
      <x:c r="D75" s="4"/>
      <x:c r="E75" s="4"/>
      <x:c r="F75" s="4"/>
      <x:c r="G75" s="4"/>
      <x:c r="H75" s="4"/>
      <x:c r="I75" s="4"/>
      <x:c r="J75" s="4"/>
      <x:c r="K75" s="4"/>
    </x:row>
    <x:row r="76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</x:row>
    <x:row r="77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A crossed liquid-by-seed response informs a frozen action table. Its own water, analysis, delay and handling costs are charged to the proposed policy.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A gypsum-limited brackish RO concentrate, interpretable liquid/seed reference assay, different feasible best actions, and a qualified host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72 development assay vessels; 36 confirmation campaigns of three decision cycles; 216 diagnostic vessels within the proposed-policy campaigns; 18 downstream RO compatibility runs. 1,368 principal panel equivalents.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https://waterfromenergy.com/research-review.html#study-a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S01 • USGS PHREEQC: high-salinity speciation and evaporation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https://water.usgs.gov/water-resources/software/PHREEQC/documentation/phreeqc3-html/phreeqc3-79.htm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S02 • Reverse Osmosis with Intermediate Chemical Demineralization: Scale Inhibitor Selection, Degradation, and Seeded Precipitation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https://www.mdpi.com/1420-3049/29/10/2163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S03 • Turbidity-based scaling detection system for batch reverse osmosis combined with gypsum crystal recovery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https://www.sciencedirect.com/science/article/pii/S0011916424005289</x:v>
      </x:c>
      <x:c r="D113" s="4"/>
      <x:c r="E113" s="4"/>
      <x:c r="F113" s="4"/>
      <x:c r="G113" s="4"/>
      <x:c r="H113" s="4"/>
      <x:c r="I113" s="4"/>
      <x:c r="J113" s="4"/>
      <x:c r="K113" s="4"/>
    </x:row>
    <x:row r="114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Candidate decision-method contribution; novelty unresolved; prior-art references: N03, N04, N05, N06, N07, N08, N09, N10, N11, N01, N02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https://waterfromenergy.com/research-program.html#study-a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Can separate tests of process liquid and reused gypsum seeds choose corrective actions more economically than calibrated crystallization kinetics and a tuned operating rule?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58:K58"/>
    <x:mergeCell ref="C59:K59"/>
    <x:mergeCell ref="C61:K61"/>
    <x:mergeCell ref="C62:K62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21:K121"/>
    <x:mergeCell ref="C122:K122"/>
    <x:mergeCell ref="C123:K123"/>
    <x:mergeCell ref="C124:K124"/>
  </x:mergeCells>
  <x:conditionalFormatting sqref="I55:I55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B • Make reuse decisions reliable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12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18 development runs and 54 held-out confirmation runs across three controllers, three challenge families and six feed/time blocks; 288 principal panel equivalents.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12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32476.800000000003</x:v>
      </x:c>
      <x:c r="I8" s="17" t="n">
        <x:f>H8*(1+J8)</x:f>
        <x:v>42999.283200000005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12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131886</x:v>
      </x:c>
      <x:c r="I9" s="17" t="n">
        <x:f>H9*(1+J9)</x:f>
        <x:v>174617.064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0.75</x:v>
      </x:c>
      <x:c r="E10" s="2" t="n">
        <x:f>IF(AND(ISNUMBER($D$4),$D$4&gt;0),$D$4,NA())</x:f>
        <x:v>12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79821</x:v>
      </x:c>
      <x:c r="I10" s="17" t="n">
        <x:f>H10*(1+J10)</x:f>
        <x:v>105683.004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0.75</x:v>
      </x:c>
      <x:c r="E11" s="2" t="n">
        <x:f>IF(AND(ISNUMBER($D$4),$D$4&gt;0),$D$4,NA())</x:f>
        <x:v>12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43465.5</x:v>
      </x:c>
      <x:c r="I11" s="17" t="n">
        <x:f>H11*(1+J11)</x:f>
        <x:v>59765.0625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0.2</x:v>
      </x:c>
      <x:c r="E12" s="2" t="n">
        <x:f>IF(AND(ISNUMBER($D$4),$D$4&gt;0),$D$4,NA())</x:f>
        <x:v>12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20991.600000000002</x:v>
      </x:c>
      <x:c r="I12" s="17" t="n">
        <x:f>H12*(1+J12)</x:f>
        <x:v>27792.878400000005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12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135200</x:v>
      </x:c>
      <x:c r="I13" s="17" t="n">
        <x:f>H13*(1+J13)</x:f>
        <x:v>179004.80000000002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589862.0921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288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57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435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97875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Bench membrane reuse and recirculation assembly</x:v>
      </x:c>
      <x:c r="D28" s="20" t="n">
        <x:v>1</x:v>
      </x:c>
      <x:c r="E28" s="20" t="str">
        <x:v>equipment</x:v>
      </x:c>
      <x:c r="F28" s="21" t="n">
        <x:v>20000</x:v>
      </x:c>
      <x:c r="G28" s="22" t="n">
        <x:f>IF(COUNT(F28)=1,F28*IF(E28="equipment",Inputs!D9,Inputs!D10),NA())</x:f>
        <x:v>20000</x:v>
      </x:c>
      <x:c r="H28" s="22" t="n">
        <x:f>G28*IF(OR(E28="equipment",E28="goods"),(1+Inputs!D18)*(1+Inputs!D17),1)</x:f>
        <x:v>23215.499999999996</x:v>
      </x:c>
      <x:c r="I28" s="23" t="n">
        <x:f>IF(COUNT(D28)=1,D28*H28,NA())</x:f>
        <x:v>23215.499999999996</x:v>
      </x:c>
      <x:c r="J28" s="23" t="n">
        <x:f>IF(AND(E28="equipment",H28&gt;=5000),I28,0)</x:f>
        <x:v>23215.499999999996</x:v>
      </x:c>
      <x:c r="K28" s="4" t="str">
        <x:v>P-UNIFY</x:v>
      </x:c>
    </x:row>
    <x:row r="29" ht="30" customHeight="1">
      <x:c r="A29" s="1"/>
      <x:c r="B29" s="1"/>
      <x:c r="C29" s="4" t="str">
        <x:v>Conductivity, pressure, flow and fouling DAQ</x:v>
      </x:c>
      <x:c r="D29" s="20" t="n">
        <x:v>1</x:v>
      </x:c>
      <x:c r="E29" s="20" t="str">
        <x:v>equipment</x:v>
      </x:c>
      <x:c r="F29" s="21" t="n">
        <x:v>18000</x:v>
      </x:c>
      <x:c r="G29" s="22" t="n">
        <x:f>IF(COUNT(F29)=1,F29*IF(E29="equipment",Inputs!D9,Inputs!D10),NA())</x:f>
        <x:v>18000</x:v>
      </x:c>
      <x:c r="H29" s="22" t="n">
        <x:f>G29*IF(OR(E29="equipment",E29="goods"),(1+Inputs!D18)*(1+Inputs!D17),1)</x:f>
        <x:v>20893.949999999997</x:v>
      </x:c>
      <x:c r="I29" s="23" t="n">
        <x:f>IF(COUNT(D29)=1,D29*H29,NA())</x:f>
        <x:v>20893.949999999997</x:v>
      </x:c>
      <x:c r="J29" s="23" t="n">
        <x:f>IF(AND(E29="equipment",H29&gt;=5000),I29,0)</x:f>
        <x:v>20893.949999999997</x:v>
      </x:c>
      <x:c r="K29" s="4" t="str">
        <x:v>P-UNIFY</x:v>
      </x:c>
    </x:row>
    <x:row r="30" ht="30" customHeight="1">
      <x:c r="A30" s="1"/>
      <x:c r="B30" s="1"/>
      <x:c r="C30" s="4" t="str">
        <x:v>Sensor-fault, valve and sampling assembly</x:v>
      </x:c>
      <x:c r="D30" s="20" t="n">
        <x:v>1</x:v>
      </x:c>
      <x:c r="E30" s="20" t="str">
        <x:v>equipment</x:v>
      </x:c>
      <x:c r="F30" s="21" t="n">
        <x:v>12000</x:v>
      </x:c>
      <x:c r="G30" s="22" t="n">
        <x:f>IF(COUNT(F30)=1,F30*IF(E30="equipment",Inputs!D9,Inputs!D10),NA())</x:f>
        <x:v>12000</x:v>
      </x:c>
      <x:c r="H30" s="22" t="n">
        <x:f>G30*IF(OR(E30="equipment",E30="goods"),(1+Inputs!D18)*(1+Inputs!D17),1)</x:f>
        <x:v>13929.3</x:v>
      </x:c>
      <x:c r="I30" s="23" t="n">
        <x:f>IF(COUNT(D30)=1,D30*H30,NA())</x:f>
        <x:v>13929.3</x:v>
      </x:c>
      <x:c r="J30" s="23" t="n">
        <x:f>IF(AND(E30="equipment",H30&gt;=5000),I30,0)</x:f>
        <x:v>13929.3</x:v>
      </x:c>
      <x:c r="K30" s="4" t="str">
        <x:v>P-UNIFY</x:v>
      </x:c>
    </x:row>
    <x:row r="31" ht="30" customHeight="1">
      <x:c r="A31" s="1"/>
      <x:c r="B31" s="1"/>
      <x:c r="C31" s="4" t="str">
        <x:v>Dedicated controller test workstation</x:v>
      </x:c>
      <x:c r="D31" s="20" t="n">
        <x:v>1</x:v>
      </x:c>
      <x:c r="E31" s="20" t="str">
        <x:v>equipment</x:v>
      </x:c>
      <x:c r="F31" s="21" t="n">
        <x:v>4000</x:v>
      </x:c>
      <x:c r="G31" s="22" t="n">
        <x:f>IF(COUNT(F31)=1,F31*IF(E31="equipment",Inputs!D9,Inputs!D10),NA())</x:f>
        <x:v>4000</x:v>
      </x:c>
      <x:c r="H31" s="22" t="n">
        <x:f>G31*IF(OR(E31="equipment",E31="goods"),(1+Inputs!D18)*(1+Inputs!D17),1)</x:f>
        <x:v>4643.099999999999</x:v>
      </x:c>
      <x:c r="I31" s="23" t="n">
        <x:f>IF(COUNT(D31)=1,D31*H31,NA())</x:f>
        <x:v>4643.099999999999</x:v>
      </x:c>
      <x:c r="J31" s="23" t="n">
        <x:f>IF(AND(E31="equipment",H31&gt;=5000),I31,0)</x:f>
        <x:v>0</x:v>
      </x:c>
      <x:c r="K31" s="4" t="str">
        <x:v>P-UNIFY</x:v>
      </x:c>
    </x:row>
    <x:row r="32" ht="30" customHeight="1">
      <x:c r="A32" s="1"/>
      <x:c r="B32" s="1"/>
      <x:c r="C32" s="4" t="str">
        <x:v>Containment and installation supplies</x:v>
      </x:c>
      <x:c r="D32" s="20" t="n">
        <x:v>1</x:v>
      </x:c>
      <x:c r="E32" s="20" t="str">
        <x:v>goods</x:v>
      </x:c>
      <x:c r="F32" s="21" t="n">
        <x:v>6000</x:v>
      </x:c>
      <x:c r="G32" s="22" t="n">
        <x:f>IF(COUNT(F32)=1,F32*IF(E32="equipment",Inputs!D9,Inputs!D10),NA())</x:f>
        <x:v>6000</x:v>
      </x:c>
      <x:c r="H32" s="22" t="n">
        <x:f>G32*IF(OR(E32="equipment",E32="goods"),(1+Inputs!D18)*(1+Inputs!D17),1)</x:f>
        <x:v>6964.65</x:v>
      </x:c>
      <x:c r="I32" s="23" t="n">
        <x:f>IF(COUNT(D32)=1,D32*H32,NA())</x:f>
        <x:v>6964.65</x:v>
      </x:c>
      <x:c r="J32" s="23" t="n">
        <x:f>IF(AND(E32="equipment",H32&gt;=5000),I32,0)</x:f>
        <x:v>0</x:v>
      </x:c>
      <x:c r="K32" s="4" t="str">
        <x:v>P-UNIFY</x:v>
      </x:c>
    </x:row>
    <x:row r="33" ht="30" customHeight="1">
      <x:c r="A33" s="1"/>
      <x:c r="B33" s="1"/>
      <x:c r="C33" s="4" t="str">
        <x:v>Membranes, standards and challenge consumables</x:v>
      </x:c>
      <x:c r="D33" s="20" t="n">
        <x:v>12</x:v>
      </x:c>
      <x:c r="E33" s="20" t="str">
        <x:v>goods</x:v>
      </x:c>
      <x:c r="F33" s="21" t="n">
        <x:v>1200</x:v>
      </x:c>
      <x:c r="G33" s="22" t="n">
        <x:f>IF(COUNT(F33)=1,F33*IF(E33="equipment",Inputs!D9,Inputs!D10),NA())</x:f>
        <x:v>1200</x:v>
      </x:c>
      <x:c r="H33" s="22" t="n">
        <x:f>G33*IF(OR(E33="equipment",E33="goods"),(1+Inputs!D18)*(1+Inputs!D17),1)</x:f>
        <x:v>1392.9299999999998</x:v>
      </x:c>
      <x:c r="I33" s="23" t="n">
        <x:f>IF(COUNT(D33)=1,D33*H33,NA())</x:f>
        <x:v>16715.159999999996</x:v>
      </x:c>
      <x:c r="J33" s="23" t="n">
        <x:f>IF(AND(E33="equipment",H33&gt;=5000),I33,0)</x:f>
        <x:v>0</x:v>
      </x:c>
      <x:c r="K33" s="4" t="str">
        <x:v>P-UNIFY</x:v>
      </x:c>
    </x:row>
    <x:row r="34" ht="30" customHeight="1">
      <x:c r="A34" s="1"/>
      <x:c r="B34" s="1"/>
      <x:c r="C34" s="4" t="str">
        <x:v>Host-data preparation and permission administration</x:v>
      </x:c>
      <x:c r="D34" s="20" t="n">
        <x:v>80</x:v>
      </x:c>
      <x:c r="E34" s="20" t="str">
        <x:v>service</x:v>
      </x:c>
      <x:c r="F34" s="21" t="n">
        <x:v>100</x:v>
      </x:c>
      <x:c r="G34" s="22" t="n">
        <x:f>IF(COUNT(F34)=1,F34*IF(E34="equipment",Inputs!D9,Inputs!D10),NA())</x:f>
        <x:v>100</x:v>
      </x:c>
      <x:c r="H34" s="22" t="n">
        <x:f>G34*IF(OR(E34="equipment",E34="goods"),(1+Inputs!D18)*(1+Inputs!D17),1)</x:f>
        <x:v>100</x:v>
      </x:c>
      <x:c r="I34" s="23" t="n">
        <x:f>IF(COUNT(D34)=1,D34*H34,NA())</x:f>
        <x:v>8000</x:v>
      </x:c>
      <x:c r="J34" s="23" t="n">
        <x:f>IF(AND(E34="equipment",H34&gt;=5000),I34,0)</x:f>
        <x:v>0</x:v>
      </x:c>
      <x:c r="K34" s="4" t="str">
        <x:v>P-UNIFY</x:v>
      </x:c>
    </x:row>
    <x:row r="35" ht="30" customHeight="1">
      <x:c r="A35" s="1"/>
      <x:c r="B35" s="1"/>
      <x:c r="C35" s="4" t="str">
        <x:v>Real feed collection / transport</x:v>
      </x:c>
      <x:c r="D35" s="20" t="n">
        <x:v>9</x:v>
      </x:c>
      <x:c r="E35" s="20" t="str">
        <x:v>service</x:v>
      </x:c>
      <x:c r="F35" s="21" t="n">
        <x:v>600</x:v>
      </x:c>
      <x:c r="G35" s="22" t="n">
        <x:f>IF(COUNT(F35)=1,F35*IF(E35="equipment",Inputs!D9,Inputs!D10),NA())</x:f>
        <x:v>600</x:v>
      </x:c>
      <x:c r="H35" s="22" t="n">
        <x:f>G35*IF(OR(E35="equipment",E35="goods"),(1+Inputs!D18)*(1+Inputs!D17),1)</x:f>
        <x:v>600</x:v>
      </x:c>
      <x:c r="I35" s="23" t="n">
        <x:f>IF(COUNT(D35)=1,D35*H35,NA())</x:f>
        <x:v>5400</x:v>
      </x:c>
      <x:c r="J35" s="23" t="n">
        <x:f>IF(AND(E35="equipment",H35&gt;=5000),I35,0)</x:f>
        <x:v>0</x:v>
      </x:c>
      <x:c r="K35" s="4" t="str">
        <x:v>P-COST</x:v>
      </x:c>
    </x:row>
    <x:row r="36" ht="30" customHeight="1">
      <x:c r="A36" s="1"/>
      <x:c r="B36" s="1"/>
      <x:c r="C36" s="4" t="str">
        <x:v>Feed-specific assay method qualification</x:v>
      </x:c>
      <x:c r="D36" s="20" t="n">
        <x:v>60</x:v>
      </x:c>
      <x:c r="E36" s="20" t="str">
        <x:v>service</x:v>
      </x:c>
      <x:c r="F36" s="21" t="n">
        <x:v>150</x:v>
      </x:c>
      <x:c r="G36" s="22" t="n">
        <x:f>IF(COUNT(F36)=1,F36*IF(E36="equipment",Inputs!D9,Inputs!D10),NA())</x:f>
        <x:v>150</x:v>
      </x:c>
      <x:c r="H36" s="22" t="n">
        <x:f>G36*IF(OR(E36="equipment",E36="goods"),(1+Inputs!D18)*(1+Inputs!D17),1)</x:f>
        <x:v>150</x:v>
      </x:c>
      <x:c r="I36" s="23" t="n">
        <x:f>IF(COUNT(D36)=1,D36*H36,NA())</x:f>
        <x:v>9000</x:v>
      </x:c>
      <x:c r="J36" s="23" t="n">
        <x:f>IF(AND(E36="equipment",H36&gt;=5000),I36,0)</x:f>
        <x:v>0</x:v>
      </x:c>
      <x:c r="K36" s="4" t="str">
        <x:v>P-UNIFY</x:v>
      </x:c>
    </x:row>
    <x:row r="37" ht="30" customHeight="1">
      <x:c r="A37" s="1"/>
      <x:c r="B37" s="1"/>
      <x:c r="C37" s="4" t="str">
        <x:v>Targeted nonsalt contaminant method allowance</x:v>
      </x:c>
      <x:c r="D37" s="20" t="n">
        <x:v>40</x:v>
      </x:c>
      <x:c r="E37" s="20" t="str">
        <x:v>service</x:v>
      </x:c>
      <x:c r="F37" s="21" t="n">
        <x:v>250</x:v>
      </x:c>
      <x:c r="G37" s="22" t="n">
        <x:f>IF(COUNT(F37)=1,F37*IF(E37="equipment",Inputs!D9,Inputs!D10),NA())</x:f>
        <x:v>250</x:v>
      </x:c>
      <x:c r="H37" s="22" t="n">
        <x:f>G37*IF(OR(E37="equipment",E37="goods"),(1+Inputs!D18)*(1+Inputs!D17),1)</x:f>
        <x:v>250</x:v>
      </x:c>
      <x:c r="I37" s="23" t="n">
        <x:f>IF(COUNT(D37)=1,D37*H37,NA())</x:f>
        <x:v>10000</x:v>
      </x:c>
      <x:c r="J37" s="23" t="n">
        <x:f>IF(AND(E37="equipment",H37&gt;=5000),I37,0)</x:f>
        <x:v>0</x:v>
      </x:c>
      <x:c r="K37" s="4" t="str">
        <x:v>P-UNIFY</x:v>
      </x:c>
    </x:row>
    <x:row r="38" ht="30" customHeight="1">
      <x:c r="A38" s="1"/>
      <x:c r="B38" s="1"/>
      <x:c r="C38" s="4" t="str">
        <x:v>Independent controller and data-leakage audit</x:v>
      </x:c>
      <x:c r="D38" s="20" t="n">
        <x:v>100</x:v>
      </x:c>
      <x:c r="E38" s="20" t="str">
        <x:v>service</x:v>
      </x:c>
      <x:c r="F38" s="21" t="n">
        <x:v>150</x:v>
      </x:c>
      <x:c r="G38" s="22" t="n">
        <x:f>IF(COUNT(F38)=1,F38*IF(E38="equipment",Inputs!D9,Inputs!D10),NA())</x:f>
        <x:v>150</x:v>
      </x:c>
      <x:c r="H38" s="22" t="n">
        <x:f>G38*IF(OR(E38="equipment",E38="goods"),(1+Inputs!D18)*(1+Inputs!D17),1)</x:f>
        <x:v>150</x:v>
      </x:c>
      <x:c r="I38" s="23" t="n">
        <x:f>IF(COUNT(D38)=1,D38*H38,NA())</x:f>
        <x:v>15000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Specialist fabrication / commissioning</x:v>
      </x:c>
      <x:c r="D39" s="20" t="n">
        <x:v>80</x:v>
      </x:c>
      <x:c r="E39" s="20" t="str">
        <x:v>service</x:v>
      </x:c>
      <x:c r="F39" s="21" t="n">
        <x:v>125</x:v>
      </x:c>
      <x:c r="G39" s="22" t="n">
        <x:f>IF(COUNT(F39)=1,F39*IF(E39="equipment",Inputs!D9,Inputs!D10),NA())</x:f>
        <x:v>125</x:v>
      </x:c>
      <x:c r="H39" s="22" t="n">
        <x:f>G39*IF(OR(E39="equipment",E39="goods"),(1+Inputs!D18)*(1+Inputs!D17),1)</x:f>
        <x:v>125</x:v>
      </x:c>
      <x:c r="I39" s="23" t="n">
        <x:f>IF(COUNT(D39)=1,D39*H39,NA())</x:f>
        <x:v>10000</x:v>
      </x:c>
      <x:c r="J39" s="23" t="n">
        <x:f>IF(AND(E39="equipment",H39&gt;=5000),I39,0)</x:f>
        <x:v>0</x:v>
      </x:c>
      <x:c r="K39" s="4" t="str">
        <x:v>P-UNIFY</x:v>
      </x:c>
    </x:row>
    <x:row r="40" ht="30" customHeight="1">
      <x:c r="A40" s="1"/>
      <x:c r="B40" s="1"/>
      <x:c r="C40" s="4" t="str">
        <x:v>Residual packaging and disposal</x:v>
      </x:c>
      <x:c r="D40" s="20" t="n">
        <x:v>10</x:v>
      </x:c>
      <x:c r="E40" s="20" t="str">
        <x:v>service</x:v>
      </x:c>
      <x:c r="F40" s="21" t="n">
        <x:v>600</x:v>
      </x:c>
      <x:c r="G40" s="22" t="n">
        <x:f>IF(COUNT(F40)=1,F40*IF(E40="equipment",Inputs!D9,Inputs!D10),NA())</x:f>
        <x:v>600</x:v>
      </x:c>
      <x:c r="H40" s="22" t="n">
        <x:f>G40*IF(OR(E40="equipment",E40="goods"),(1+Inputs!D18)*(1+Inputs!D17),1)</x:f>
        <x:v>600</x:v>
      </x:c>
      <x:c r="I40" s="23" t="n">
        <x:f>IF(COUNT(D40)=1,D40*H40,NA())</x:f>
        <x:v>6000</x:v>
      </x:c>
      <x:c r="J40" s="23" t="n">
        <x:f>IF(AND(E40="equipment",H40&gt;=5000),I40,0)</x:f>
        <x:v>0</x:v>
      </x:c>
      <x:c r="K40" s="4" t="str">
        <x:v>P-UNIFY</x:v>
      </x:c>
    </x:row>
    <x:row r="41" ht="30" customHeight="1">
      <x:c r="A41" s="1"/>
      <x:c r="B41" s="1"/>
      <x:c r="C41" s="4" t="str">
        <x:v>Replacement sensors and calibration standards</x:v>
      </x:c>
      <x:c r="D41" s="20" t="n">
        <x:v>1</x:v>
      </x:c>
      <x:c r="E41" s="20" t="str">
        <x:v>goods</x:v>
      </x:c>
      <x:c r="F41" s="21" t="n">
        <x:v>6000</x:v>
      </x:c>
      <x:c r="G41" s="22" t="n">
        <x:f>IF(COUNT(F41)=1,F41*IF(E41="equipment",Inputs!D9,Inputs!D10),NA())</x:f>
        <x:v>6000</x:v>
      </x:c>
      <x:c r="H41" s="22" t="n">
        <x:f>G41*IF(OR(E41="equipment",E41="goods"),(1+Inputs!D18)*(1+Inputs!D17),1)</x:f>
        <x:v>6964.65</x:v>
      </x:c>
      <x:c r="I41" s="23" t="n">
        <x:f>IF(COUNT(D41)=1,D41*H41,NA())</x:f>
        <x:v>6964.65</x:v>
      </x:c>
      <x:c r="J41" s="23" t="n">
        <x:f>IF(AND(E41="equipment",H41&gt;=5000),I41,0)</x:f>
        <x:v>0</x:v>
      </x:c>
      <x:c r="K41" s="4" t="str">
        <x:v>P-UNIFY</x:v>
      </x:c>
    </x:row>
    <x:row r="42">
      <x:c r="A42" s="1"/>
      <x:c r="B42" s="1"/>
      <x:c r="C42" s="2"/>
      <x:c r="D42" s="2"/>
      <x:c r="E42" s="2"/>
      <x:c r="F42" s="2"/>
      <x:c r="G42" s="2"/>
      <x:c r="H42" s="2"/>
      <x:c r="I42" s="2"/>
      <x:c r="J42" s="2"/>
      <x:c r="K42" s="2"/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32" customHeight="1">
      <x:c r="A44" s="1"/>
      <x:c r="B44" s="1"/>
      <x:c r="C44" s="9" t="str">
        <x:v>Funding build</x:v>
      </x:c>
      <x:c r="D44" s="9" t="str"/>
      <x:c r="E44" s="9" t="str"/>
      <x:c r="F44" s="9" t="str"/>
      <x:c r="G44" s="9" t="str"/>
      <x:c r="H44" s="9" t="str"/>
      <x:c r="I44" s="9" t="str">
        <x:v>Amount</x:v>
      </x:c>
      <x:c r="J44" s="9" t="str"/>
      <x:c r="K44" s="9" t="str"/>
    </x:row>
    <x:row r="45">
      <x:c r="A45" s="1"/>
      <x:c r="B45" s="1"/>
      <x:c r="C45" s="2" t="str">
        <x:v>Other direct costs</x:v>
      </x:c>
      <x:c r="D45" s="2"/>
      <x:c r="E45" s="2"/>
      <x:c r="F45" s="2"/>
      <x:c r="G45" s="2"/>
      <x:c r="H45" s="2"/>
      <x:c r="I45" s="17" t="n">
        <x:f>SUM(I28:I41)</x:f>
        <x:v>156726.31</x:v>
      </x:c>
      <x:c r="J45" s="2"/>
      <x:c r="K45" s="2"/>
    </x:row>
    <x:row r="46">
      <x:c r="A46" s="1"/>
      <x:c r="B46" s="1"/>
      <x:c r="C46" s="2" t="str">
        <x:v>Total direct costs</x:v>
      </x:c>
      <x:c r="D46" s="2"/>
      <x:c r="E46" s="2"/>
      <x:c r="F46" s="2"/>
      <x:c r="G46" s="2"/>
      <x:c r="H46" s="2"/>
      <x:c r="I46" s="17" t="n">
        <x:f>I15+I24+I45</x:f>
        <x:v>844463.4021000001</x:v>
      </x:c>
      <x:c r="J46" s="2"/>
      <x:c r="K46" s="2"/>
    </x:row>
    <x:row r="47">
      <x:c r="A47" s="1"/>
      <x:c r="B47" s="1"/>
      <x:c r="C47" s="2" t="str">
        <x:v>Equipment excluded from MTDC</x:v>
      </x:c>
      <x:c r="D47" s="2"/>
      <x:c r="E47" s="2"/>
      <x:c r="F47" s="2"/>
      <x:c r="G47" s="2"/>
      <x:c r="H47" s="2"/>
      <x:c r="I47" s="17" t="n">
        <x:f>SUM(J28:J41)</x:f>
        <x:v>58038.75</x:v>
      </x:c>
      <x:c r="J47" s="2"/>
      <x:c r="K47" s="2"/>
    </x:row>
    <x:row r="48">
      <x:c r="A48" s="1"/>
      <x:c r="B48" s="1"/>
      <x:c r="C48" s="2" t="str">
        <x:v>Modified direct-cost base</x:v>
      </x:c>
      <x:c r="D48" s="2"/>
      <x:c r="E48" s="2"/>
      <x:c r="F48" s="2"/>
      <x:c r="G48" s="2"/>
      <x:c r="H48" s="2"/>
      <x:c r="I48" s="17" t="n">
        <x:f>I46-I47</x:f>
        <x:v>786424.6521000001</x:v>
      </x:c>
      <x:c r="J48" s="2"/>
      <x:c r="K48" s="2"/>
    </x:row>
    <x:row r="49">
      <x:c r="A49" s="1"/>
      <x:c r="B49" s="1"/>
      <x:c r="C49" s="2" t="str">
        <x:v>Institutional cost / F&amp;A</x:v>
      </x:c>
      <x:c r="D49" s="2"/>
      <x:c r="E49" s="2"/>
      <x:c r="F49" s="2"/>
      <x:c r="G49" s="2"/>
      <x:c r="H49" s="2"/>
      <x:c r="I49" s="18" t="n">
        <x:f>I48*Inputs!D15</x:f>
        <x:v>436465.6819155001</x:v>
      </x:c>
      <x:c r="J49" s="2"/>
      <x:c r="K49" s="2"/>
    </x:row>
    <x:row r="50">
      <x:c r="A50" s="1"/>
      <x:c r="B50" s="1"/>
      <x:c r="C50" s="2" t="str">
        <x:v>Direct plus institutional</x:v>
      </x:c>
      <x:c r="D50" s="2"/>
      <x:c r="E50" s="2"/>
      <x:c r="F50" s="2"/>
      <x:c r="G50" s="2"/>
      <x:c r="H50" s="2"/>
      <x:c r="I50" s="17" t="n">
        <x:f>I46+I49</x:f>
        <x:v>1280929.0840155003</x:v>
      </x:c>
      <x:c r="J50" s="2"/>
      <x:c r="K50" s="2"/>
    </x:row>
    <x:row r="51">
      <x:c r="A51" s="1"/>
      <x:c r="B51" s="1"/>
      <x:c r="C51" s="2" t="str">
        <x:v>Risk reserve</x:v>
      </x:c>
      <x:c r="D51" s="2"/>
      <x:c r="E51" s="2"/>
      <x:c r="F51" s="2"/>
      <x:c r="G51" s="2"/>
      <x:c r="H51" s="2"/>
      <x:c r="I51" s="18" t="n">
        <x:f>I50*Inputs!D16</x:f>
        <x:v>192139.36260232504</x:v>
      </x:c>
      <x:c r="J51" s="2"/>
      <x:c r="K51" s="2"/>
    </x:row>
    <x:row r="52">
      <x:c r="A52" s="1"/>
      <x:c r="B52" s="1"/>
      <x:c r="C52" s="8" t="str">
        <x:v>PRELIMINARY FUNDING ENVELOPE</x:v>
      </x:c>
      <x:c r="D52" s="8"/>
      <x:c r="E52" s="8"/>
      <x:c r="F52" s="8"/>
      <x:c r="G52" s="8"/>
      <x:c r="H52" s="8"/>
      <x:c r="I52" s="25" t="n">
        <x:f>SUM(I50:I51)</x:f>
        <x:v>1473068.4466178254</x:v>
      </x:c>
      <x:c r="J52" s="8"/>
      <x:c r="K52" s="8"/>
    </x:row>
    <x:row r="53">
      <x:c r="A53" s="1"/>
      <x:c r="B53" s="1"/>
      <x:c r="C53" s="2"/>
      <x:c r="D53" s="2"/>
      <x:c r="E53" s="2"/>
      <x:c r="F53" s="2"/>
      <x:c r="G53" s="2"/>
      <x:c r="H53" s="2"/>
      <x:c r="I53" s="2"/>
      <x:c r="J53" s="2"/>
      <x:c r="K53" s="2"/>
    </x:row>
    <x:row r="54">
      <x:c r="A54" s="1"/>
      <x:c r="B54" s="1"/>
      <x:c r="C54" s="2" t="str">
        <x:v>Reconciliation difference (must be zero)</x:v>
      </x:c>
      <x:c r="D54" s="2"/>
      <x:c r="E54" s="2"/>
      <x:c r="F54" s="2"/>
      <x:c r="G54" s="2"/>
      <x:c r="H54" s="2"/>
      <x:c r="I54" s="17" t="n">
        <x:f>ROUND(I52-I15-I24-I45-I49-I51,2)</x:f>
        <x:v>0</x:v>
      </x:c>
      <x:c r="J54" s="2"/>
      <x:c r="K54" s="2"/>
    </x:row>
    <x:row r="55">
      <x:c r="A55" s="1"/>
      <x:c r="B55" s="1"/>
      <x:c r="C55" s="2"/>
      <x:c r="D55" s="2"/>
      <x:c r="E55" s="2"/>
      <x:c r="F55" s="2"/>
      <x:c r="G55" s="2"/>
      <x:c r="H55" s="2"/>
      <x:c r="I55" s="2"/>
      <x:c r="J55" s="2"/>
      <x:c r="K55" s="2"/>
    </x:row>
    <x:row r="56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54" customHeight="1">
      <x:c r="A57" s="1"/>
      <x:c r="B57" s="1"/>
      <x:c r="C57" s="4" t="str">
        <x:v>A defined reuse service, authorized operating data, independent nonsalt quality methods and representative fault opportunities are required. All quantities are unquoted planning ceilings. Confirmation precision and exact analytical methods require host/scientific review.</x:v>
      </x:c>
      <x:c r="D57" s="4"/>
      <x:c r="E57" s="4"/>
      <x:c r="F57" s="4"/>
      <x:c r="G57" s="4"/>
      <x:c r="H57" s="4"/>
      <x:c r="I57" s="4"/>
      <x:c r="J57" s="4"/>
      <x:c r="K57" s="4"/>
    </x:row>
    <x:row r="58" ht="38" customHeight="1">
      <x:c r="A58" s="1"/>
      <x:c r="B58" s="1"/>
      <x:c r="C58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58" s="4"/>
      <x:c r="E58" s="4"/>
      <x:c r="F58" s="4"/>
      <x:c r="G58" s="4"/>
      <x:c r="H58" s="4"/>
      <x:c r="I58" s="4"/>
      <x:c r="J58" s="4"/>
      <x:c r="K58" s="4"/>
    </x:row>
    <x:row r="59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38" customHeight="1">
      <x:c r="A60" s="1"/>
      <x:c r="B60" s="1"/>
      <x:c r="C60" s="4" t="str">
        <x:v>Row 28 • 1 assembly • Project planning allowance; no quote.  [P-UNIFY]</x:v>
      </x:c>
      <x:c r="D60" s="4"/>
      <x:c r="E60" s="4"/>
      <x:c r="F60" s="4"/>
      <x:c r="G60" s="4"/>
      <x:c r="H60" s="4"/>
      <x:c r="I60" s="4"/>
      <x:c r="J60" s="4"/>
      <x:c r="K60" s="4"/>
    </x:row>
    <x:row r="61" ht="38" customHeight="1">
      <x:c r="A61" s="1"/>
      <x:c r="B61" s="1"/>
      <x:c r="C61" s="4" t="str">
        <x:v>Row 29 • 1 assembly • Project planning allowance; no quote.  [P-UNIFY]</x:v>
      </x:c>
      <x:c r="D61" s="4"/>
      <x:c r="E61" s="4"/>
      <x:c r="F61" s="4"/>
      <x:c r="G61" s="4"/>
      <x:c r="H61" s="4"/>
      <x:c r="I61" s="4"/>
      <x:c r="J61" s="4"/>
      <x:c r="K61" s="4"/>
    </x:row>
    <x:row r="62" ht="38" customHeight="1">
      <x:c r="A62" s="1"/>
      <x:c r="B62" s="1"/>
      <x:c r="C62" s="4" t="str">
        <x:v>Row 30 • 1 assembly • Project planning allowance; no quote.  [P-UNIFY]</x:v>
      </x:c>
      <x:c r="D62" s="4"/>
      <x:c r="E62" s="4"/>
      <x:c r="F62" s="4"/>
      <x:c r="G62" s="4"/>
      <x:c r="H62" s="4"/>
      <x:c r="I62" s="4"/>
      <x:c r="J62" s="4"/>
      <x:c r="K62" s="4"/>
    </x:row>
    <x:row r="63" ht="38" customHeight="1">
      <x:c r="A63" s="1"/>
      <x:c r="B63" s="1"/>
      <x:c r="C63" s="4" t="str">
        <x:v>Row 31 • 1 each • Project planning allowance; no quote. Experiment-specific hardware; ordinary host IT is in institutional costs. [P-UNIFY]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32 • 1 lot • Project planning allowance; no quote.  [P-UNIFY]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33 • 12 funded month • Project planning allowance; no quote.  [P-UNIFY]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34 • 80 hour • Project planning allowance; no quote. Specialist project work only; no purchase of unavailable data or general administration. [P-UNIFY]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35 • 9 collection allowance • Three development and six later feed/time-block collection allowances; permissions and samples not secured. [P-COST]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36 • 60 hour • Project planning allowance; no quote.  [P-UNIFY]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37 • 40 panel-equivalent • Project planning allowance; no quote. Specific analytes depend on reuse requirements; not a certification panel. [P-UNIFY]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38 • 100 hour • Qualification of matched baseline and residual-based candidate, held-out data boundaries and independent service-quality analysis; unquoted.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39 • 80 hour • Project planning allowance; no quote.  [P-UNIFY]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40 • 10 drum-equivalent • Project planning allowance; no quote.  [P-UNIFY]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41 • 1 lot • Project planning allowance; no quote.  [P-UNIFY]</x:v>
      </x:c>
      <x:c r="D73" s="4"/>
      <x:c r="E73" s="4"/>
      <x:c r="F73" s="4"/>
      <x:c r="G73" s="4"/>
      <x:c r="H73" s="4"/>
      <x:c r="I73" s="4"/>
      <x:c r="J73" s="4"/>
      <x:c r="K73" s="4"/>
    </x:row>
    <x:row r="74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</x:row>
    <x:row r="75">
      <x:c r="A75" s="1"/>
      <x:c r="B75" s="1"/>
      <x:c r="C75" s="2"/>
      <x:c r="D75" s="2"/>
      <x:c r="E75" s="2"/>
      <x:c r="F75" s="2"/>
      <x:c r="G75" s="2"/>
      <x:c r="H75" s="2"/>
      <x:c r="I75" s="2"/>
      <x:c r="J75" s="2"/>
      <x:c r="K75" s="2"/>
    </x:row>
    <x:row r="76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</x:row>
    <x:row r="77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A frozen joint consistency rule decides whether the controller can trust its state estimate or must use a conservative fallback.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A defined reuse service, authorized operating data, independent nonsalt quality methods and representative fault opportunities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18 development runs and 54 held-out confirmation runs across three controllers, three challenge families and six feed/time blocks; 288 principal panel equivalents.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https://waterfromenergy.com/research-review.html#study-b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S01 • USGS PHREEQC: high-salinity speciation and evaporation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https://water.usgs.gov/water-resources/software/PHREEQC/documentation/phreeqc3-html/phreeqc3-79.htm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S03 • Turbidity-based scaling detection system for batch reverse osmosis combined with gypsum crystal recovery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https://www.sciencedirect.com/science/article/pii/S0011916424005289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S06 • Membrane technology for water reuse in decentralised non-sewered sanitation systems: comparison of pressure driven (reverse osmosis) and thermally driven processes (membrane distillation and pervaporation)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https://pubs.rsc.org/en/content/articlelanding/2024/ew/d4ew00200h</x:v>
      </x:c>
      <x:c r="D113" s="4"/>
      <x:c r="E113" s="4"/>
      <x:c r="F113" s="4"/>
      <x:c r="G113" s="4"/>
      <x:c r="H113" s="4"/>
      <x:c r="I113" s="4"/>
      <x:c r="J113" s="4"/>
      <x:c r="K113" s="4"/>
    </x:row>
    <x:row r="114" ht="46" customHeight="1">
      <x:c r="A114" s="1"/>
      <x:c r="B114" s="1"/>
      <x:c r="C114" s="4" t="str">
        <x:v>S07 • EPA: industrial reuse and fit-for-purpose treatment</x:v>
      </x:c>
      <x:c r="D114" s="4"/>
      <x:c r="E114" s="4"/>
      <x:c r="F114" s="4"/>
      <x:c r="G114" s="4"/>
      <x:c r="H114" s="4"/>
      <x:c r="I114" s="4"/>
      <x:c r="J114" s="4"/>
      <x:c r="K114" s="4"/>
    </x:row>
    <x:row r="115" ht="46" customHeight="1">
      <x:c r="A115" s="1"/>
      <x:c r="B115" s="1"/>
      <x:c r="C115" s="4" t="str">
        <x:v>https://www.epa.gov/waterreuse/water-reuse-industrial-applications-resources</x:v>
      </x:c>
      <x:c r="D115" s="4"/>
      <x:c r="E115" s="4"/>
      <x:c r="F115" s="4"/>
      <x:c r="G115" s="4"/>
      <x:c r="H115" s="4"/>
      <x:c r="I115" s="4"/>
      <x:c r="J115" s="4"/>
      <x:c r="K115" s="4"/>
    </x:row>
    <x:row r="116" ht="46" customHeight="1">
      <x:c r="A116" s="1"/>
      <x:c r="B116" s="1"/>
      <x:c r="C116" s="4" t="str">
        <x:v>S08 • CDC: cooling-tower water management</x:v>
      </x:c>
      <x:c r="D116" s="4"/>
      <x:c r="E116" s="4"/>
      <x:c r="F116" s="4"/>
      <x:c r="G116" s="4"/>
      <x:c r="H116" s="4"/>
      <x:c r="I116" s="4"/>
      <x:c r="J116" s="4"/>
      <x:c r="K116" s="4"/>
    </x:row>
    <x:row r="117" ht="46" customHeight="1">
      <x:c r="A117" s="1"/>
      <x:c r="B117" s="1"/>
      <x:c r="C117" s="4" t="str">
        <x:v>https://www.cdc.gov/control-legionella/php/toolkit/cooling-towers-module.html</x:v>
      </x:c>
      <x:c r="D117" s="4"/>
      <x:c r="E117" s="4"/>
      <x:c r="F117" s="4"/>
      <x:c r="G117" s="4"/>
      <x:c r="H117" s="4"/>
      <x:c r="I117" s="4"/>
      <x:c r="J117" s="4"/>
      <x:c r="K117" s="4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Candidate control contribution; novelty unresolved; prior-art references: N01, N02, N09, N12, N32, N33, S06, S07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https://waterfromenergy.com/research-program.html#study-b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Does a consistency check across flow, pressure and salt measurements improve accepted-water operation under unseen faults beyond a tuned normalization-based controller?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57:K57"/>
    <x:mergeCell ref="C58:K58"/>
    <x:mergeCell ref="C60:K60"/>
    <x:mergeCell ref="C61:K61"/>
    <x:mergeCell ref="C62:K62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14:K114"/>
    <x:mergeCell ref="C115:K115"/>
    <x:mergeCell ref="C116:K116"/>
    <x:mergeCell ref="C117:K117"/>
    <x:mergeCell ref="C121:K121"/>
    <x:mergeCell ref="C122:K122"/>
    <x:mergeCell ref="C123:K123"/>
    <x:mergeCell ref="C124:K124"/>
  </x:mergeCells>
  <x:conditionalFormatting sqref="I54:I54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C • Find when recovered heat earns its place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18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48 material screens, 72 equal-service comparisons and six 30-cycle endurance campaigns; 972 principal panels.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0.25</x:v>
      </x:c>
      <x:c r="E8" s="2" t="n">
        <x:f>IF(AND(ISNUMBER($D$4),$D$4&gt;0),$D$4,NA())</x:f>
        <x:v>18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61502.94</x:v>
      </x:c>
      <x:c r="I8" s="17" t="n">
        <x:f>H8*(1+J8)</x:f>
        <x:v>81429.89256000001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18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199807.29</x:v>
      </x:c>
      <x:c r="I9" s="17" t="n">
        <x:f>H9*(1+J9)</x:f>
        <x:v>264544.85196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1</x:v>
      </x:c>
      <x:c r="E10" s="2" t="n">
        <x:f>IF(AND(ISNUMBER($D$4),$D$4&gt;0),$D$4,NA())</x:f>
        <x:v>18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161238.41999999998</x:v>
      </x:c>
      <x:c r="I10" s="17" t="n">
        <x:f>H10*(1+J10)</x:f>
        <x:v>213479.66808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18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87800.31</x:v>
      </x:c>
      <x:c r="I11" s="17" t="n">
        <x:f>H11*(1+J11)</x:f>
        <x:v>120725.42624999999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18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23851.705499999996</x:v>
      </x:c>
      <x:c r="I12" s="17" t="n">
        <x:f>H12*(1+J12)</x:f>
        <x:v>31579.658081999998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18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202800</x:v>
      </x:c>
      <x:c r="I13" s="17" t="n">
        <x:f>H13*(1+J13)</x:f>
        <x:v>268507.2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980266.6969320001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972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160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1222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274950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Programmable heat-source emulator and metering</x:v>
      </x:c>
      <x:c r="D28" s="20" t="n">
        <x:v>1</x:v>
      </x:c>
      <x:c r="E28" s="20" t="str">
        <x:v>equipment</x:v>
      </x:c>
      <x:c r="F28" s="21" t="n">
        <x:v>15000</x:v>
      </x:c>
      <x:c r="G28" s="22" t="n">
        <x:f>IF(COUNT(F28)=1,F28*IF(E28="equipment",Inputs!D9,Inputs!D10),NA())</x:f>
        <x:v>15000</x:v>
      </x:c>
      <x:c r="H28" s="22" t="n">
        <x:f>G28*IF(OR(E28="equipment",E28="goods"),(1+Inputs!D18)*(1+Inputs!D17),1)</x:f>
        <x:v>17411.625</x:v>
      </x:c>
      <x:c r="I28" s="23" t="n">
        <x:f>IF(COUNT(D28)=1,D28*H28,NA())</x:f>
        <x:v>17411.625</x:v>
      </x:c>
      <x:c r="J28" s="23" t="n">
        <x:f>IF(AND(E28="equipment",H28&gt;=5000),I28,0)</x:f>
        <x:v>17411.625</x:v>
      </x:c>
      <x:c r="K28" s="4" t="str">
        <x:v>P-UNIFY</x:v>
      </x:c>
    </x:row>
    <x:row r="29" ht="30" customHeight="1">
      <x:c r="A29" s="1"/>
      <x:c r="B29" s="1"/>
      <x:c r="C29" s="4" t="str">
        <x:v>Continuous-rated source and sink thermal system</x:v>
      </x:c>
      <x:c r="D29" s="20" t="n">
        <x:v>1</x:v>
      </x:c>
      <x:c r="E29" s="20" t="str">
        <x:v>equipment</x:v>
      </x:c>
      <x:c r="F29" s="21" t="n">
        <x:v>30000</x:v>
      </x:c>
      <x:c r="G29" s="22" t="n">
        <x:f>IF(COUNT(F29)=1,F29*IF(E29="equipment",Inputs!D9,Inputs!D10),NA())</x:f>
        <x:v>30000</x:v>
      </x:c>
      <x:c r="H29" s="22" t="n">
        <x:f>G29*IF(OR(E29="equipment",E29="goods"),(1+Inputs!D18)*(1+Inputs!D17),1)</x:f>
        <x:v>34823.25</x:v>
      </x:c>
      <x:c r="I29" s="23" t="n">
        <x:f>IF(COUNT(D29)=1,D29*H29,NA())</x:f>
        <x:v>34823.25</x:v>
      </x:c>
      <x:c r="J29" s="23" t="n">
        <x:f>IF(AND(E29="equipment",H29&gt;=5000),I29,0)</x:f>
        <x:v>34823.25</x:v>
      </x:c>
      <x:c r="K29" s="4" t="str">
        <x:v>P-UNIFY</x:v>
      </x:c>
    </x:row>
    <x:row r="30" ht="30" customHeight="1">
      <x:c r="A30" s="1"/>
      <x:c r="B30" s="1"/>
      <x:c r="C30" s="4" t="str">
        <x:v>Isolated heat-exchanger bank</x:v>
      </x:c>
      <x:c r="D30" s="20" t="n">
        <x:v>1</x:v>
      </x:c>
      <x:c r="E30" s="20" t="str">
        <x:v>equipment</x:v>
      </x:c>
      <x:c r="F30" s="21" t="n">
        <x:v>14000</x:v>
      </x:c>
      <x:c r="G30" s="22" t="n">
        <x:f>IF(COUNT(F30)=1,F30*IF(E30="equipment",Inputs!D9,Inputs!D10),NA())</x:f>
        <x:v>14000</x:v>
      </x:c>
      <x:c r="H30" s="22" t="n">
        <x:f>G30*IF(OR(E30="equipment",E30="goods"),(1+Inputs!D18)*(1+Inputs!D17),1)</x:f>
        <x:v>16250.849999999999</x:v>
      </x:c>
      <x:c r="I30" s="23" t="n">
        <x:f>IF(COUNT(D30)=1,D30*H30,NA())</x:f>
        <x:v>16250.849999999999</x:v>
      </x:c>
      <x:c r="J30" s="23" t="n">
        <x:f>IF(AND(E30="equipment",H30&gt;=5000),I30,0)</x:f>
        <x:v>16250.849999999999</x:v>
      </x:c>
      <x:c r="K30" s="4" t="str">
        <x:v>P-UNIFY</x:v>
      </x:c>
    </x:row>
    <x:row r="31" ht="30" customHeight="1">
      <x:c r="A31" s="1"/>
      <x:c r="B31" s="1"/>
      <x:c r="C31" s="4" t="str">
        <x:v>Thermal membrane treatment assembly</x:v>
      </x:c>
      <x:c r="D31" s="20" t="n">
        <x:v>1</x:v>
      </x:c>
      <x:c r="E31" s="20" t="str">
        <x:v>equipment</x:v>
      </x:c>
      <x:c r="F31" s="21" t="n">
        <x:v>16000</x:v>
      </x:c>
      <x:c r="G31" s="22" t="n">
        <x:f>IF(COUNT(F31)=1,F31*IF(E31="equipment",Inputs!D9,Inputs!D10),NA())</x:f>
        <x:v>16000</x:v>
      </x:c>
      <x:c r="H31" s="22" t="n">
        <x:f>G31*IF(OR(E31="equipment",E31="goods"),(1+Inputs!D18)*(1+Inputs!D17),1)</x:f>
        <x:v>18572.399999999998</x:v>
      </x:c>
      <x:c r="I31" s="23" t="n">
        <x:f>IF(COUNT(D31)=1,D31*H31,NA())</x:f>
        <x:v>18572.399999999998</x:v>
      </x:c>
      <x:c r="J31" s="23" t="n">
        <x:f>IF(AND(E31="equipment",H31&gt;=5000),I31,0)</x:f>
        <x:v>18572.399999999998</x:v>
      </x:c>
      <x:c r="K31" s="4" t="str">
        <x:v>P-UNIFY</x:v>
      </x:c>
    </x:row>
    <x:row r="32" ht="30" customHeight="1">
      <x:c r="A32" s="1"/>
      <x:c r="B32" s="1"/>
      <x:c r="C32" s="4" t="str">
        <x:v>Electric membrane-treatment comparison assembly</x:v>
      </x:c>
      <x:c r="D32" s="20" t="n">
        <x:v>1</x:v>
      </x:c>
      <x:c r="E32" s="20" t="str">
        <x:v>equipment</x:v>
      </x:c>
      <x:c r="F32" s="21" t="n">
        <x:v>18000</x:v>
      </x:c>
      <x:c r="G32" s="22" t="n">
        <x:f>IF(COUNT(F32)=1,F32*IF(E32="equipment",Inputs!D9,Inputs!D10),NA())</x:f>
        <x:v>18000</x:v>
      </x:c>
      <x:c r="H32" s="22" t="n">
        <x:f>G32*IF(OR(E32="equipment",E32="goods"),(1+Inputs!D18)*(1+Inputs!D17),1)</x:f>
        <x:v>20893.949999999997</x:v>
      </x:c>
      <x:c r="I32" s="23" t="n">
        <x:f>IF(COUNT(D32)=1,D32*H32,NA())</x:f>
        <x:v>20893.949999999997</x:v>
      </x:c>
      <x:c r="J32" s="23" t="n">
        <x:f>IF(AND(E32="equipment",H32&gt;=5000),I32,0)</x:f>
        <x:v>20893.949999999997</x:v>
      </x:c>
      <x:c r="K32" s="4" t="str">
        <x:v>P-UNIFY</x:v>
      </x:c>
    </x:row>
    <x:row r="33" ht="30" customHeight="1">
      <x:c r="A33" s="1"/>
      <x:c r="B33" s="1"/>
      <x:c r="C33" s="4" t="str">
        <x:v>Dry / evaporative cooling comparison rig</x:v>
      </x:c>
      <x:c r="D33" s="20" t="n">
        <x:v>1</x:v>
      </x:c>
      <x:c r="E33" s="20" t="str">
        <x:v>equipment</x:v>
      </x:c>
      <x:c r="F33" s="21" t="n">
        <x:v>24000</x:v>
      </x:c>
      <x:c r="G33" s="22" t="n">
        <x:f>IF(COUNT(F33)=1,F33*IF(E33="equipment",Inputs!D9,Inputs!D10),NA())</x:f>
        <x:v>24000</x:v>
      </x:c>
      <x:c r="H33" s="22" t="n">
        <x:f>G33*IF(OR(E33="equipment",E33="goods"),(1+Inputs!D18)*(1+Inputs!D17),1)</x:f>
        <x:v>27858.6</x:v>
      </x:c>
      <x:c r="I33" s="23" t="n">
        <x:f>IF(COUNT(D33)=1,D33*H33,NA())</x:f>
        <x:v>27858.6</x:v>
      </x:c>
      <x:c r="J33" s="23" t="n">
        <x:f>IF(AND(E33="equipment",H33&gt;=5000),I33,0)</x:f>
        <x:v>27858.6</x:v>
      </x:c>
      <x:c r="K33" s="4" t="str">
        <x:v>P-UNIFY</x:v>
      </x:c>
    </x:row>
    <x:row r="34" ht="30" customHeight="1">
      <x:c r="A34" s="1"/>
      <x:c r="B34" s="1"/>
      <x:c r="C34" s="4" t="str">
        <x:v>Water and energy balance sensors and logging</x:v>
      </x:c>
      <x:c r="D34" s="20" t="n">
        <x:v>1</x:v>
      </x:c>
      <x:c r="E34" s="20" t="str">
        <x:v>equipment</x:v>
      </x:c>
      <x:c r="F34" s="21" t="n">
        <x:v>22000</x:v>
      </x:c>
      <x:c r="G34" s="22" t="n">
        <x:f>IF(COUNT(F34)=1,F34*IF(E34="equipment",Inputs!D9,Inputs!D10),NA())</x:f>
        <x:v>22000</x:v>
      </x:c>
      <x:c r="H34" s="22" t="n">
        <x:f>G34*IF(OR(E34="equipment",E34="goods"),(1+Inputs!D18)*(1+Inputs!D17),1)</x:f>
        <x:v>25537.05</x:v>
      </x:c>
      <x:c r="I34" s="23" t="n">
        <x:f>IF(COUNT(D34)=1,D34*H34,NA())</x:f>
        <x:v>25537.05</x:v>
      </x:c>
      <x:c r="J34" s="23" t="n">
        <x:f>IF(AND(E34="equipment",H34&gt;=5000),I34,0)</x:f>
        <x:v>25537.05</x:v>
      </x:c>
      <x:c r="K34" s="4" t="str">
        <x:v>P-UNIFY</x:v>
      </x:c>
    </x:row>
    <x:row r="35" ht="30" customHeight="1">
      <x:c r="A35" s="1"/>
      <x:c r="B35" s="1"/>
      <x:c r="C35" s="4" t="str">
        <x:v>Backup heat dump, bypass and containment</x:v>
      </x:c>
      <x:c r="D35" s="20" t="n">
        <x:v>1</x:v>
      </x:c>
      <x:c r="E35" s="20" t="str">
        <x:v>equipment</x:v>
      </x:c>
      <x:c r="F35" s="21" t="n">
        <x:v>14000</x:v>
      </x:c>
      <x:c r="G35" s="22" t="n">
        <x:f>IF(COUNT(F35)=1,F35*IF(E35="equipment",Inputs!D9,Inputs!D10),NA())</x:f>
        <x:v>14000</x:v>
      </x:c>
      <x:c r="H35" s="22" t="n">
        <x:f>G35*IF(OR(E35="equipment",E35="goods"),(1+Inputs!D18)*(1+Inputs!D17),1)</x:f>
        <x:v>16250.849999999999</x:v>
      </x:c>
      <x:c r="I35" s="23" t="n">
        <x:f>IF(COUNT(D35)=1,D35*H35,NA())</x:f>
        <x:v>16250.849999999999</x:v>
      </x:c>
      <x:c r="J35" s="23" t="n">
        <x:f>IF(AND(E35="equipment",H35&gt;=5000),I35,0)</x:f>
        <x:v>16250.849999999999</x:v>
      </x:c>
      <x:c r="K35" s="4" t="str">
        <x:v>P-UNIFY</x:v>
      </x:c>
    </x:row>
    <x:row r="36" ht="30" customHeight="1">
      <x:c r="A36" s="1"/>
      <x:c r="B36" s="1"/>
      <x:c r="C36" s="4" t="str">
        <x:v>Plumbing, insulation and installation supplies</x:v>
      </x:c>
      <x:c r="D36" s="20" t="n">
        <x:v>1</x:v>
      </x:c>
      <x:c r="E36" s="20" t="str">
        <x:v>goods</x:v>
      </x:c>
      <x:c r="F36" s="21" t="n">
        <x:v>8000</x:v>
      </x:c>
      <x:c r="G36" s="22" t="n">
        <x:f>IF(COUNT(F36)=1,F36*IF(E36="equipment",Inputs!D9,Inputs!D10),NA())</x:f>
        <x:v>8000</x:v>
      </x:c>
      <x:c r="H36" s="22" t="n">
        <x:f>G36*IF(OR(E36="equipment",E36="goods"),(1+Inputs!D18)*(1+Inputs!D17),1)</x:f>
        <x:v>9286.199999999999</x:v>
      </x:c>
      <x:c r="I36" s="23" t="n">
        <x:f>IF(COUNT(D36)=1,D36*H36,NA())</x:f>
        <x:v>9286.199999999999</x:v>
      </x:c>
      <x:c r="J36" s="23" t="n">
        <x:f>IF(AND(E36="equipment",H36&gt;=5000),I36,0)</x:f>
        <x:v>0</x:v>
      </x:c>
      <x:c r="K36" s="4" t="str">
        <x:v>P-UNIFY</x:v>
      </x:c>
    </x:row>
    <x:row r="37" ht="30" customHeight="1">
      <x:c r="A37" s="1"/>
      <x:c r="B37" s="1"/>
      <x:c r="C37" s="4" t="str">
        <x:v>Membranes, cleaning and sampling consumables</x:v>
      </x:c>
      <x:c r="D37" s="20" t="n">
        <x:v>18</x:v>
      </x:c>
      <x:c r="E37" s="20" t="str">
        <x:v>goods</x:v>
      </x:c>
      <x:c r="F37" s="21" t="n">
        <x:v>2000</x:v>
      </x:c>
      <x:c r="G37" s="22" t="n">
        <x:f>IF(COUNT(F37)=1,F37*IF(E37="equipment",Inputs!D9,Inputs!D10),NA())</x:f>
        <x:v>2000</x:v>
      </x:c>
      <x:c r="H37" s="22" t="n">
        <x:f>G37*IF(OR(E37="equipment",E37="goods"),(1+Inputs!D18)*(1+Inputs!D17),1)</x:f>
        <x:v>2321.5499999999997</x:v>
      </x:c>
      <x:c r="I37" s="23" t="n">
        <x:f>IF(COUNT(D37)=1,D37*H37,NA())</x:f>
        <x:v>41787.899999999994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Real-feed logistics</x:v>
      </x:c>
      <x:c r="D38" s="20" t="n">
        <x:v>9</x:v>
      </x:c>
      <x:c r="E38" s="20" t="str">
        <x:v>service</x:v>
      </x:c>
      <x:c r="F38" s="21" t="n">
        <x:v>600</x:v>
      </x:c>
      <x:c r="G38" s="22" t="n">
        <x:f>IF(COUNT(F38)=1,F38*IF(E38="equipment",Inputs!D9,Inputs!D10),NA())</x:f>
        <x:v>600</x:v>
      </x:c>
      <x:c r="H38" s="22" t="n">
        <x:f>G38*IF(OR(E38="equipment",E38="goods"),(1+Inputs!D18)*(1+Inputs!D17),1)</x:f>
        <x:v>600</x:v>
      </x:c>
      <x:c r="I38" s="23" t="n">
        <x:f>IF(COUNT(D38)=1,D38*H38,NA())</x:f>
        <x:v>5400</x:v>
      </x:c>
      <x:c r="J38" s="23" t="n">
        <x:f>IF(AND(E38="equipment",H38&gt;=5000),I38,0)</x:f>
        <x:v>0</x:v>
      </x:c>
      <x:c r="K38" s="4" t="str">
        <x:v>P-UNIFY</x:v>
      </x:c>
    </x:row>
    <x:row r="39" ht="30" customHeight="1">
      <x:c r="A39" s="1"/>
      <x:c r="B39" s="1"/>
      <x:c r="C39" s="4" t="str">
        <x:v>Thermal/matrix qualification and release assays</x:v>
      </x:c>
      <x:c r="D39" s="20" t="n">
        <x:v>1</x:v>
      </x:c>
      <x:c r="E39" s="20" t="str">
        <x:v>service</x:v>
      </x:c>
      <x:c r="F39" s="21" t="n">
        <x:v>24000</x:v>
      </x:c>
      <x:c r="G39" s="22" t="n">
        <x:f>IF(COUNT(F39)=1,F39*IF(E39="equipment",Inputs!D9,Inputs!D10),NA())</x:f>
        <x:v>24000</x:v>
      </x:c>
      <x:c r="H39" s="22" t="n">
        <x:f>G39*IF(OR(E39="equipment",E39="goods"),(1+Inputs!D18)*(1+Inputs!D17),1)</x:f>
        <x:v>24000</x:v>
      </x:c>
      <x:c r="I39" s="23" t="n">
        <x:f>IF(COUNT(D39)=1,D39*H39,NA())</x:f>
        <x:v>24000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Independent heat, electrical and pressure review</x:v>
      </x:c>
      <x:c r="D40" s="20" t="n">
        <x:v>100</x:v>
      </x:c>
      <x:c r="E40" s="20" t="str">
        <x:v>service</x:v>
      </x:c>
      <x:c r="F40" s="21" t="n">
        <x:v>175</x:v>
      </x:c>
      <x:c r="G40" s="22" t="n">
        <x:f>IF(COUNT(F40)=1,F40*IF(E40="equipment",Inputs!D9,Inputs!D10),NA())</x:f>
        <x:v>175</x:v>
      </x:c>
      <x:c r="H40" s="22" t="n">
        <x:f>G40*IF(OR(E40="equipment",E40="goods"),(1+Inputs!D18)*(1+Inputs!D17),1)</x:f>
        <x:v>175</x:v>
      </x:c>
      <x:c r="I40" s="23" t="n">
        <x:f>IF(COUNT(D40)=1,D40*H40,NA())</x:f>
        <x:v>17500</x:v>
      </x:c>
      <x:c r="J40" s="23" t="n">
        <x:f>IF(AND(E40="equipment",H40&gt;=5000),I40,0)</x:f>
        <x:v>0</x:v>
      </x:c>
      <x:c r="K40" s="4" t="str">
        <x:v>P-UNIFY</x:v>
      </x:c>
    </x:row>
    <x:row r="41" ht="30" customHeight="1">
      <x:c r="A41" s="1"/>
      <x:c r="B41" s="1"/>
      <x:c r="C41" s="4" t="str">
        <x:v>Specialist fabrication / commissioning</x:v>
      </x:c>
      <x:c r="D41" s="20" t="n">
        <x:v>120</x:v>
      </x:c>
      <x:c r="E41" s="20" t="str">
        <x:v>service</x:v>
      </x:c>
      <x:c r="F41" s="21" t="n">
        <x:v>125</x:v>
      </x:c>
      <x:c r="G41" s="22" t="n">
        <x:f>IF(COUNT(F41)=1,F41*IF(E41="equipment",Inputs!D9,Inputs!D10),NA())</x:f>
        <x:v>125</x:v>
      </x:c>
      <x:c r="H41" s="22" t="n">
        <x:f>G41*IF(OR(E41="equipment",E41="goods"),(1+Inputs!D18)*(1+Inputs!D17),1)</x:f>
        <x:v>125</x:v>
      </x:c>
      <x:c r="I41" s="23" t="n">
        <x:f>IF(COUNT(D41)=1,D41*H41,NA())</x:f>
        <x:v>15000</x:v>
      </x:c>
      <x:c r="J41" s="23" t="n">
        <x:f>IF(AND(E41="equipment",H41&gt;=5000),I41,0)</x:f>
        <x:v>0</x:v>
      </x:c>
      <x:c r="K41" s="4" t="str">
        <x:v>P-UNIFY</x:v>
      </x:c>
    </x:row>
    <x:row r="42" ht="30" customHeight="1">
      <x:c r="A42" s="1"/>
      <x:c r="B42" s="1"/>
      <x:c r="C42" s="4" t="str">
        <x:v>Residual packaging and disposal</x:v>
      </x:c>
      <x:c r="D42" s="20" t="n">
        <x:v>18</x:v>
      </x:c>
      <x:c r="E42" s="20" t="str">
        <x:v>service</x:v>
      </x:c>
      <x:c r="F42" s="21" t="n">
        <x:v>600</x:v>
      </x:c>
      <x:c r="G42" s="22" t="n">
        <x:f>IF(COUNT(F42)=1,F42*IF(E42="equipment",Inputs!D9,Inputs!D10),NA())</x:f>
        <x:v>600</x:v>
      </x:c>
      <x:c r="H42" s="22" t="n">
        <x:f>G42*IF(OR(E42="equipment",E42="goods"),(1+Inputs!D18)*(1+Inputs!D17),1)</x:f>
        <x:v>600</x:v>
      </x:c>
      <x:c r="I42" s="23" t="n">
        <x:f>IF(COUNT(D42)=1,D42*H42,NA())</x:f>
        <x:v>10800</x:v>
      </x:c>
      <x:c r="J42" s="23" t="n">
        <x:f>IF(AND(E42="equipment",H42&gt;=5000),I42,0)</x:f>
        <x:v>0</x:v>
      </x:c>
      <x:c r="K42" s="4" t="str">
        <x:v>P-UNIFY</x:v>
      </x:c>
    </x:row>
    <x:row r="43" ht="30" customHeight="1">
      <x:c r="A43" s="1"/>
      <x:c r="B43" s="1"/>
      <x:c r="C43" s="4" t="str">
        <x:v>Replacement instruments and standards</x:v>
      </x:c>
      <x:c r="D43" s="20" t="n">
        <x:v>1</x:v>
      </x:c>
      <x:c r="E43" s="20" t="str">
        <x:v>goods</x:v>
      </x:c>
      <x:c r="F43" s="21" t="n">
        <x:v>8000</x:v>
      </x:c>
      <x:c r="G43" s="22" t="n">
        <x:f>IF(COUNT(F43)=1,F43*IF(E43="equipment",Inputs!D9,Inputs!D10),NA())</x:f>
        <x:v>8000</x:v>
      </x:c>
      <x:c r="H43" s="22" t="n">
        <x:f>G43*IF(OR(E43="equipment",E43="goods"),(1+Inputs!D18)*(1+Inputs!D17),1)</x:f>
        <x:v>9286.199999999999</x:v>
      </x:c>
      <x:c r="I43" s="23" t="n">
        <x:f>IF(COUNT(D43)=1,D43*H43,NA())</x:f>
        <x:v>9286.199999999999</x:v>
      </x:c>
      <x:c r="J43" s="23" t="n">
        <x:f>IF(AND(E43="equipment",H43&gt;=5000),I43,0)</x:f>
        <x:v>0</x:v>
      </x:c>
      <x:c r="K43" s="4" t="str">
        <x:v>P-UNIFY</x:v>
      </x:c>
    </x:row>
    <x:row r="44">
      <x:c r="A44" s="1"/>
      <x:c r="B44" s="1"/>
      <x:c r="C44" s="2"/>
      <x:c r="D44" s="2"/>
      <x:c r="E44" s="2"/>
      <x:c r="F44" s="2"/>
      <x:c r="G44" s="2"/>
      <x:c r="H44" s="2"/>
      <x:c r="I44" s="2"/>
      <x:c r="J44" s="2"/>
      <x:c r="K44" s="2"/>
    </x:row>
    <x:row r="45">
      <x:c r="A45" s="1"/>
      <x:c r="B45" s="1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32" customHeight="1">
      <x:c r="A46" s="1"/>
      <x:c r="B46" s="1"/>
      <x:c r="C46" s="9" t="str">
        <x:v>Funding build</x:v>
      </x:c>
      <x:c r="D46" s="9" t="str"/>
      <x:c r="E46" s="9" t="str"/>
      <x:c r="F46" s="9" t="str"/>
      <x:c r="G46" s="9" t="str"/>
      <x:c r="H46" s="9" t="str"/>
      <x:c r="I46" s="9" t="str">
        <x:v>Amount</x:v>
      </x:c>
      <x:c r="J46" s="9" t="str"/>
      <x:c r="K46" s="9" t="str"/>
    </x:row>
    <x:row r="47">
      <x:c r="A47" s="1"/>
      <x:c r="B47" s="1"/>
      <x:c r="C47" s="2" t="str">
        <x:v>Other direct costs</x:v>
      </x:c>
      <x:c r="D47" s="2"/>
      <x:c r="E47" s="2"/>
      <x:c r="F47" s="2"/>
      <x:c r="G47" s="2"/>
      <x:c r="H47" s="2"/>
      <x:c r="I47" s="17" t="n">
        <x:f>SUM(I28:I43)</x:f>
        <x:v>310658.875</x:v>
      </x:c>
      <x:c r="J47" s="2"/>
      <x:c r="K47" s="2"/>
    </x:row>
    <x:row r="48">
      <x:c r="A48" s="1"/>
      <x:c r="B48" s="1"/>
      <x:c r="C48" s="2" t="str">
        <x:v>Total direct costs</x:v>
      </x:c>
      <x:c r="D48" s="2"/>
      <x:c r="E48" s="2"/>
      <x:c r="F48" s="2"/>
      <x:c r="G48" s="2"/>
      <x:c r="H48" s="2"/>
      <x:c r="I48" s="17" t="n">
        <x:f>I15+I24+I47</x:f>
        <x:v>1565875.571932</x:v>
      </x:c>
      <x:c r="J48" s="2"/>
      <x:c r="K48" s="2"/>
    </x:row>
    <x:row r="49">
      <x:c r="A49" s="1"/>
      <x:c r="B49" s="1"/>
      <x:c r="C49" s="2" t="str">
        <x:v>Equipment excluded from MTDC</x:v>
      </x:c>
      <x:c r="D49" s="2"/>
      <x:c r="E49" s="2"/>
      <x:c r="F49" s="2"/>
      <x:c r="G49" s="2"/>
      <x:c r="H49" s="2"/>
      <x:c r="I49" s="17" t="n">
        <x:f>SUM(J28:J43)</x:f>
        <x:v>177598.57499999998</x:v>
      </x:c>
      <x:c r="J49" s="2"/>
      <x:c r="K49" s="2"/>
    </x:row>
    <x:row r="50">
      <x:c r="A50" s="1"/>
      <x:c r="B50" s="1"/>
      <x:c r="C50" s="2" t="str">
        <x:v>Modified direct-cost base</x:v>
      </x:c>
      <x:c r="D50" s="2"/>
      <x:c r="E50" s="2"/>
      <x:c r="F50" s="2"/>
      <x:c r="G50" s="2"/>
      <x:c r="H50" s="2"/>
      <x:c r="I50" s="17" t="n">
        <x:f>I48-I49</x:f>
        <x:v>1388276.9969320002</x:v>
      </x:c>
      <x:c r="J50" s="2"/>
      <x:c r="K50" s="2"/>
    </x:row>
    <x:row r="51">
      <x:c r="A51" s="1"/>
      <x:c r="B51" s="1"/>
      <x:c r="C51" s="2" t="str">
        <x:v>Institutional cost / F&amp;A</x:v>
      </x:c>
      <x:c r="D51" s="2"/>
      <x:c r="E51" s="2"/>
      <x:c r="F51" s="2"/>
      <x:c r="G51" s="2"/>
      <x:c r="H51" s="2"/>
      <x:c r="I51" s="18" t="n">
        <x:f>I50*Inputs!D15</x:f>
        <x:v>770493.7332972601</x:v>
      </x:c>
      <x:c r="J51" s="2"/>
      <x:c r="K51" s="2"/>
    </x:row>
    <x:row r="52">
      <x:c r="A52" s="1"/>
      <x:c r="B52" s="1"/>
      <x:c r="C52" s="2" t="str">
        <x:v>Direct plus institutional</x:v>
      </x:c>
      <x:c r="D52" s="2"/>
      <x:c r="E52" s="2"/>
      <x:c r="F52" s="2"/>
      <x:c r="G52" s="2"/>
      <x:c r="H52" s="2"/>
      <x:c r="I52" s="17" t="n">
        <x:f>I48+I51</x:f>
        <x:v>2336369.30522926</x:v>
      </x:c>
      <x:c r="J52" s="2"/>
      <x:c r="K52" s="2"/>
    </x:row>
    <x:row r="53">
      <x:c r="A53" s="1"/>
      <x:c r="B53" s="1"/>
      <x:c r="C53" s="2" t="str">
        <x:v>Risk reserve</x:v>
      </x:c>
      <x:c r="D53" s="2"/>
      <x:c r="E53" s="2"/>
      <x:c r="F53" s="2"/>
      <x:c r="G53" s="2"/>
      <x:c r="H53" s="2"/>
      <x:c r="I53" s="18" t="n">
        <x:f>I52*Inputs!D16</x:f>
        <x:v>350455.395784389</x:v>
      </x:c>
      <x:c r="J53" s="2"/>
      <x:c r="K53" s="2"/>
    </x:row>
    <x:row r="54">
      <x:c r="A54" s="1"/>
      <x:c r="B54" s="1"/>
      <x:c r="C54" s="8" t="str">
        <x:v>PRELIMINARY FUNDING ENVELOPE</x:v>
      </x:c>
      <x:c r="D54" s="8"/>
      <x:c r="E54" s="8"/>
      <x:c r="F54" s="8"/>
      <x:c r="G54" s="8"/>
      <x:c r="H54" s="8"/>
      <x:c r="I54" s="25" t="n">
        <x:f>SUM(I52:I53)</x:f>
        <x:v>2686824.701013649</x:v>
      </x:c>
      <x:c r="J54" s="8"/>
      <x:c r="K54" s="8"/>
    </x:row>
    <x:row r="55">
      <x:c r="A55" s="1"/>
      <x:c r="B55" s="1"/>
      <x:c r="C55" s="2"/>
      <x:c r="D55" s="2"/>
      <x:c r="E55" s="2"/>
      <x:c r="F55" s="2"/>
      <x:c r="G55" s="2"/>
      <x:c r="H55" s="2"/>
      <x:c r="I55" s="2"/>
      <x:c r="J55" s="2"/>
      <x:c r="K55" s="2"/>
    </x:row>
    <x:row r="56">
      <x:c r="A56" s="1"/>
      <x:c r="B56" s="1"/>
      <x:c r="C56" s="2" t="str">
        <x:v>Reconciliation difference (must be zero)</x:v>
      </x:c>
      <x:c r="D56" s="2"/>
      <x:c r="E56" s="2"/>
      <x:c r="F56" s="2"/>
      <x:c r="G56" s="2"/>
      <x:c r="H56" s="2"/>
      <x:c r="I56" s="17" t="n">
        <x:f>ROUND(I54-I15-I24-I47-I51-I53,2)</x:f>
        <x:v>0</x:v>
      </x:c>
      <x:c r="J56" s="2"/>
      <x:c r="K56" s="2"/>
    </x:row>
    <x:row r="57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</x:row>
    <x:row r="58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54" customHeight="1">
      <x:c r="A59" s="1"/>
      <x:c r="B59" s="1"/>
      <x:c r="C59" s="4" t="str">
        <x:v>Use a measured source/sink envelope, available qualified specimens and a question beyond repeating established material performance. All quantities are unquoted planning ceilings. Confirmation precision and exact analytical methods require host/scientific review.</x:v>
      </x:c>
      <x:c r="D59" s="4"/>
      <x:c r="E59" s="4"/>
      <x:c r="F59" s="4"/>
      <x:c r="G59" s="4"/>
      <x:c r="H59" s="4"/>
      <x:c r="I59" s="4"/>
      <x:c r="J59" s="4"/>
      <x:c r="K59" s="4"/>
    </x:row>
    <x:row r="60" ht="38" customHeight="1">
      <x:c r="A60" s="1"/>
      <x:c r="B60" s="1"/>
      <x:c r="C60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60" s="4"/>
      <x:c r="E60" s="4"/>
      <x:c r="F60" s="4"/>
      <x:c r="G60" s="4"/>
      <x:c r="H60" s="4"/>
      <x:c r="I60" s="4"/>
      <x:c r="J60" s="4"/>
      <x:c r="K60" s="4"/>
    </x:row>
    <x:row r="61">
      <x:c r="A61" s="1"/>
      <x:c r="B61" s="1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38" customHeight="1">
      <x:c r="A62" s="1"/>
      <x:c r="B62" s="1"/>
      <x:c r="C62" s="4" t="str">
        <x:v>Row 28 • 1 assembly • Project planning allowance; no quote.  [P-UNIFY]</x:v>
      </x:c>
      <x:c r="D62" s="4"/>
      <x:c r="E62" s="4"/>
      <x:c r="F62" s="4"/>
      <x:c r="G62" s="4"/>
      <x:c r="H62" s="4"/>
      <x:c r="I62" s="4"/>
      <x:c r="J62" s="4"/>
      <x:c r="K62" s="4"/>
    </x:row>
    <x:row r="63" ht="38" customHeight="1">
      <x:c r="A63" s="1"/>
      <x:c r="B63" s="1"/>
      <x:c r="C63" s="4" t="str">
        <x:v>Row 29 • 1 assembly • Project planning allowance; no quote. Same allowance as G; actual thermal duty must be specified. [P-UNIFY]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30 • 1 assembly • Project planning allowance; no quote.  [P-UNIFY]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31 • 1 assembly • Project planning allowance; no quote.  [P-UNIFY]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32 • 1 assembly • Project planning allowance; no quote.  [P-UNIFY]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33 • 1 assembly • Project planning allowance; no quote.  [P-UNIFY]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34 • 1 assembly • Project planning allowance; no quote.  [P-UNIFY]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35 • 1 assembly • Project planning allowance; no quote.  [P-UNIFY]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36 • 1 lot • Project planning allowance; no quote.  [P-UNIFY]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37 • 18 funded month • 18 funded months × $2,000 planning allowance for four membrane architectures, 48 screen runs, 72 comparisons and 180 endurance cycles; excludes separate assays and labor. Availability and quote required.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38 • 9 collection allowance • Project planning allowance; no quote.  [P-UNIFY]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39 • 1 service package • Unquoted package: 80 method-qualification hours × $150 plus 48 material-specific release assay packages × $250. Analytes and matrix acceptance require a laboratory quote; no membrane synthesis included. [P-COST]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40 • 100 hour • Project planning allowance; no quote.  [P-UNIFY]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41 • 120 hour • Project planning allowance; no quote.  [P-UNIFY]</x:v>
      </x:c>
      <x:c r="D75" s="4"/>
      <x:c r="E75" s="4"/>
      <x:c r="F75" s="4"/>
      <x:c r="G75" s="4"/>
      <x:c r="H75" s="4"/>
      <x:c r="I75" s="4"/>
      <x:c r="J75" s="4"/>
      <x:c r="K75" s="4"/>
    </x:row>
    <x:row r="76" ht="38" customHeight="1">
      <x:c r="A76" s="1"/>
      <x:c r="B76" s="1"/>
      <x:c r="C76" s="4" t="str">
        <x:v>Row 42 • 18 drum-equivalent • Project planning allowance; no quote.  [P-UNIFY]</x:v>
      </x:c>
      <x:c r="D76" s="4"/>
      <x:c r="E76" s="4"/>
      <x:c r="F76" s="4"/>
      <x:c r="G76" s="4"/>
      <x:c r="H76" s="4"/>
      <x:c r="I76" s="4"/>
      <x:c r="J76" s="4"/>
      <x:c r="K76" s="4"/>
    </x:row>
    <x:row r="77" ht="38" customHeight="1">
      <x:c r="A77" s="1"/>
      <x:c r="B77" s="1"/>
      <x:c r="C77" s="4" t="str">
        <x:v>Row 43 • 1 lot • Project planning allowance; no quote.  [P-UNIFY]</x:v>
      </x:c>
      <x:c r="D77" s="4"/>
      <x:c r="E77" s="4"/>
      <x:c r="F77" s="4"/>
      <x:c r="G77" s="4"/>
      <x:c r="H77" s="4"/>
      <x:c r="I77" s="4"/>
      <x:c r="J77" s="4"/>
      <x:c r="K77" s="4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Measure the boundary at which a material’s stability, absolute throughput, cleaning burden and cooling demand change the preferred process.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Use a measured source/sink envelope, available qualified specimens and a question beyond repeating established material performance.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48 material screens, 72 equal-service comparisons and six 30-cycle endurance campaigns; 972 principal panels.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https://waterfromenergy.com/research-review.html#study-c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S09 • Waste heat won't make membrane distillation cool: Thermodynamic analysis of cooling and pumping burdens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https://iris.polito.it/retrieve/c2612a47-ce66-4dfc-9742-367e56ec3f6d/1-s2.0-S0011916426001955-main.pdf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S15 • Solar-powered resource separator for clean water production, electricity generation and critical resource recovery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https://www.nature.com/articles/s44221-026-00700-2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S20 • Pioneering minimum liquid discharge desalination: A pilot study in Lampedusa Island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https://research.tudelft.nl/en/publications/pioneering-minimum-liquid-discharge-desalination-a-pilot-study-in/</x:v>
      </x:c>
      <x:c r="D113" s="4"/>
      <x:c r="E113" s="4"/>
      <x:c r="F113" s="4"/>
      <x:c r="G113" s="4"/>
      <x:c r="H113" s="4"/>
      <x:c r="I113" s="4"/>
      <x:c r="J113" s="4"/>
      <x:c r="K113" s="4"/>
    </x:row>
    <x:row r="114" ht="46" customHeight="1">
      <x:c r="A114" s="1"/>
      <x:c r="B114" s="1"/>
      <x:c r="C114" s="4" t="str">
        <x:v>S22 • Analysis of energy, water, land and cost implications of zero and minimal liquid discharge desalination technologies</x:v>
      </x:c>
      <x:c r="D114" s="4"/>
      <x:c r="E114" s="4"/>
      <x:c r="F114" s="4"/>
      <x:c r="G114" s="4"/>
      <x:c r="H114" s="4"/>
      <x:c r="I114" s="4"/>
      <x:c r="J114" s="4"/>
      <x:c r="K114" s="4"/>
    </x:row>
    <x:row r="115" ht="46" customHeight="1">
      <x:c r="A115" s="1"/>
      <x:c r="B115" s="1"/>
      <x:c r="C115" s="4" t="str">
        <x:v>https://www.nature.com/articles/s44221-024-00327-1</x:v>
      </x:c>
      <x:c r="D115" s="4"/>
      <x:c r="E115" s="4"/>
      <x:c r="F115" s="4"/>
      <x:c r="G115" s="4"/>
      <x:c r="H115" s="4"/>
      <x:c r="I115" s="4"/>
      <x:c r="J115" s="4"/>
      <x:c r="K115" s="4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Comparative validation and operating-envelope research; prior-art references: N13, N14, N15, N24, S24, N34, S09, S22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https://waterfromenergy.com/research-program.html#study-c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Which qualified membrane and source/sink conditions can deliver the same useful water and cooling service at a lower whole-system burden?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59:K59"/>
    <x:mergeCell ref="C60:K60"/>
    <x:mergeCell ref="C62:K62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76:K76"/>
    <x:mergeCell ref="C77:K77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14:K114"/>
    <x:mergeCell ref="C115:K115"/>
    <x:mergeCell ref="C121:K121"/>
    <x:mergeCell ref="C122:K122"/>
    <x:mergeCell ref="C123:K123"/>
    <x:mergeCell ref="C124:K124"/>
  </x:mergeCells>
  <x:conditionalFormatting sqref="I56:I56">
    <x:cfRule type="cellIs" dxfId="2" priority="1" operator="not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D • Choose a useful recovery service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18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Up to 24 development runs and six campaigns of up to 100 cycles; 2,202 principal panels at the full ceiling.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0.25</x:v>
      </x:c>
      <x:c r="E8" s="2" t="n">
        <x:f>IF(AND(ISNUMBER($D$4),$D$4&gt;0),$D$4,NA())</x:f>
        <x:v>18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61502.94</x:v>
      </x:c>
      <x:c r="I8" s="17" t="n">
        <x:f>H8*(1+J8)</x:f>
        <x:v>81429.89256000001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18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199807.29</x:v>
      </x:c>
      <x:c r="I9" s="17" t="n">
        <x:f>H9*(1+J9)</x:f>
        <x:v>264544.85196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1</x:v>
      </x:c>
      <x:c r="E10" s="2" t="n">
        <x:f>IF(AND(ISNUMBER($D$4),$D$4&gt;0),$D$4,NA())</x:f>
        <x:v>18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161238.41999999998</x:v>
      </x:c>
      <x:c r="I10" s="17" t="n">
        <x:f>H10*(1+J10)</x:f>
        <x:v>213479.66808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18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87800.31</x:v>
      </x:c>
      <x:c r="I11" s="17" t="n">
        <x:f>H11*(1+J11)</x:f>
        <x:v>120725.42624999999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18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23851.705499999996</x:v>
      </x:c>
      <x:c r="I12" s="17" t="n">
        <x:f>H12*(1+J12)</x:f>
        <x:v>31579.658081999998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18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202800</x:v>
      </x:c>
      <x:c r="I13" s="17" t="n">
        <x:f>H13*(1+J13)</x:f>
        <x:v>268507.2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980266.6969320001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2202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344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2636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593100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Capture and regeneration process assemblies</x:v>
      </x:c>
      <x:c r="D28" s="20" t="n">
        <x:v>2</x:v>
      </x:c>
      <x:c r="E28" s="20" t="str">
        <x:v>equipment</x:v>
      </x:c>
      <x:c r="F28" s="21" t="n">
        <x:v>18000</x:v>
      </x:c>
      <x:c r="G28" s="22" t="n">
        <x:f>IF(COUNT(F28)=1,F28*IF(E28="equipment",Inputs!D9,Inputs!D10),NA())</x:f>
        <x:v>18000</x:v>
      </x:c>
      <x:c r="H28" s="22" t="n">
        <x:f>G28*IF(OR(E28="equipment",E28="goods"),(1+Inputs!D18)*(1+Inputs!D17),1)</x:f>
        <x:v>20893.949999999997</x:v>
      </x:c>
      <x:c r="I28" s="23" t="n">
        <x:f>IF(COUNT(D28)=1,D28*H28,NA())</x:f>
        <x:v>41787.899999999994</x:v>
      </x:c>
      <x:c r="J28" s="23" t="n">
        <x:f>IF(AND(E28="equipment",H28&gt;=5000),I28,0)</x:f>
        <x:v>41787.899999999994</x:v>
      </x:c>
      <x:c r="K28" s="4" t="str">
        <x:v>P-UNIFY</x:v>
      </x:c>
    </x:row>
    <x:row r="29" ht="30" customHeight="1">
      <x:c r="A29" s="1"/>
      <x:c r="B29" s="1"/>
      <x:c r="C29" s="4" t="str">
        <x:v>Magnetic / conventional separation comparison</x:v>
      </x:c>
      <x:c r="D29" s="20" t="n">
        <x:v>1</x:v>
      </x:c>
      <x:c r="E29" s="20" t="str">
        <x:v>equipment</x:v>
      </x:c>
      <x:c r="F29" s="21" t="n">
        <x:v>16000</x:v>
      </x:c>
      <x:c r="G29" s="22" t="n">
        <x:f>IF(COUNT(F29)=1,F29*IF(E29="equipment",Inputs!D9,Inputs!D10),NA())</x:f>
        <x:v>16000</x:v>
      </x:c>
      <x:c r="H29" s="22" t="n">
        <x:f>G29*IF(OR(E29="equipment",E29="goods"),(1+Inputs!D18)*(1+Inputs!D17),1)</x:f>
        <x:v>18572.399999999998</x:v>
      </x:c>
      <x:c r="I29" s="23" t="n">
        <x:f>IF(COUNT(D29)=1,D29*H29,NA())</x:f>
        <x:v>18572.399999999998</x:v>
      </x:c>
      <x:c r="J29" s="23" t="n">
        <x:f>IF(AND(E29="equipment",H29&gt;=5000),I29,0)</x:f>
        <x:v>18572.399999999998</x:v>
      </x:c>
      <x:c r="K29" s="4" t="str">
        <x:v>P-UNIFY</x:v>
      </x:c>
    </x:row>
    <x:row r="30" ht="30" customHeight="1">
      <x:c r="A30" s="1"/>
      <x:c r="B30" s="1"/>
      <x:c r="C30" s="4" t="str">
        <x:v>Filtration and washing assembly</x:v>
      </x:c>
      <x:c r="D30" s="20" t="n">
        <x:v>1</x:v>
      </x:c>
      <x:c r="E30" s="20" t="str">
        <x:v>equipment</x:v>
      </x:c>
      <x:c r="F30" s="21" t="n">
        <x:v>12000</x:v>
      </x:c>
      <x:c r="G30" s="22" t="n">
        <x:f>IF(COUNT(F30)=1,F30*IF(E30="equipment",Inputs!D9,Inputs!D10),NA())</x:f>
        <x:v>12000</x:v>
      </x:c>
      <x:c r="H30" s="22" t="n">
        <x:f>G30*IF(OR(E30="equipment",E30="goods"),(1+Inputs!D18)*(1+Inputs!D17),1)</x:f>
        <x:v>13929.3</x:v>
      </x:c>
      <x:c r="I30" s="23" t="n">
        <x:f>IF(COUNT(D30)=1,D30*H30,NA())</x:f>
        <x:v>13929.3</x:v>
      </x:c>
      <x:c r="J30" s="23" t="n">
        <x:f>IF(AND(E30="equipment",H30&gt;=5000),I30,0)</x:f>
        <x:v>13929.3</x:v>
      </x:c>
      <x:c r="K30" s="4" t="str">
        <x:v>P-UNIFY</x:v>
      </x:c>
    </x:row>
    <x:row r="31" ht="30" customHeight="1">
      <x:c r="A31" s="1"/>
      <x:c r="B31" s="1"/>
      <x:c r="C31" s="4" t="str">
        <x:v>Drying and product-finishing assembly</x:v>
      </x:c>
      <x:c r="D31" s="20" t="n">
        <x:v>1</x:v>
      </x:c>
      <x:c r="E31" s="20" t="str">
        <x:v>equipment</x:v>
      </x:c>
      <x:c r="F31" s="21" t="n">
        <x:v>12000</x:v>
      </x:c>
      <x:c r="G31" s="22" t="n">
        <x:f>IF(COUNT(F31)=1,F31*IF(E31="equipment",Inputs!D9,Inputs!D10),NA())</x:f>
        <x:v>12000</x:v>
      </x:c>
      <x:c r="H31" s="22" t="n">
        <x:f>G31*IF(OR(E31="equipment",E31="goods"),(1+Inputs!D18)*(1+Inputs!D17),1)</x:f>
        <x:v>13929.3</x:v>
      </x:c>
      <x:c r="I31" s="23" t="n">
        <x:f>IF(COUNT(D31)=1,D31*H31,NA())</x:f>
        <x:v>13929.3</x:v>
      </x:c>
      <x:c r="J31" s="23" t="n">
        <x:f>IF(AND(E31="equipment",H31&gt;=5000),I31,0)</x:f>
        <x:v>13929.3</x:v>
      </x:c>
      <x:c r="K31" s="4" t="str">
        <x:v>P-UNIFY</x:v>
      </x:c>
    </x:row>
    <x:row r="32" ht="30" customHeight="1">
      <x:c r="A32" s="1"/>
      <x:c r="B32" s="1"/>
      <x:c r="C32" s="4" t="str">
        <x:v>Temperature circulator</x:v>
      </x:c>
      <x:c r="D32" s="20" t="n">
        <x:v>2</x:v>
      </x:c>
      <x:c r="E32" s="20" t="str">
        <x:v>equipment</x:v>
      </x:c>
      <x:c r="F32" s="21" t="n">
        <x:v>7199</x:v>
      </x:c>
      <x:c r="G32" s="22" t="n">
        <x:f>IF(COUNT(F32)=1,F32*IF(E32="equipment",Inputs!D9,Inputs!D10),NA())</x:f>
        <x:v>7199</x:v>
      </x:c>
      <x:c r="H32" s="22" t="n">
        <x:f>G32*IF(OR(E32="equipment",E32="goods"),(1+Inputs!D18)*(1+Inputs!D17),1)</x:f>
        <x:v>8356.419225</x:v>
      </x:c>
      <x:c r="I32" s="23" t="n">
        <x:f>IF(COUNT(D32)=1,D32*H32,NA())</x:f>
        <x:v>16712.83845</x:v>
      </x:c>
      <x:c r="J32" s="23" t="n">
        <x:f>IF(AND(E32="equipment",H32&gt;=5000),I32,0)</x:f>
        <x:v>16712.83845</x:v>
      </x:c>
      <x:c r="K32" s="4" t="str">
        <x:v>B08</x:v>
      </x:c>
    </x:row>
    <x:row r="33" ht="30" customHeight="1">
      <x:c r="A33" s="1"/>
      <x:c r="B33" s="1"/>
      <x:c r="C33" s="4" t="str">
        <x:v>Whole-material and water-balance DAQ</x:v>
      </x:c>
      <x:c r="D33" s="20" t="n">
        <x:v>1</x:v>
      </x:c>
      <x:c r="E33" s="20" t="str">
        <x:v>equipment</x:v>
      </x:c>
      <x:c r="F33" s="21" t="n">
        <x:v>18000</x:v>
      </x:c>
      <x:c r="G33" s="22" t="n">
        <x:f>IF(COUNT(F33)=1,F33*IF(E33="equipment",Inputs!D9,Inputs!D10),NA())</x:f>
        <x:v>18000</x:v>
      </x:c>
      <x:c r="H33" s="22" t="n">
        <x:f>G33*IF(OR(E33="equipment",E33="goods"),(1+Inputs!D18)*(1+Inputs!D17),1)</x:f>
        <x:v>20893.949999999997</x:v>
      </x:c>
      <x:c r="I33" s="23" t="n">
        <x:f>IF(COUNT(D33)=1,D33*H33,NA())</x:f>
        <x:v>20893.949999999997</x:v>
      </x:c>
      <x:c r="J33" s="23" t="n">
        <x:f>IF(AND(E33="equipment",H33&gt;=5000),I33,0)</x:f>
        <x:v>20893.949999999997</x:v>
      </x:c>
      <x:c r="K33" s="4" t="str">
        <x:v>P-UNIFY</x:v>
      </x:c>
    </x:row>
    <x:row r="34" ht="30" customHeight="1">
      <x:c r="A34" s="1"/>
      <x:c r="B34" s="1"/>
      <x:c r="C34" s="4" t="str">
        <x:v>Containment and installation supplies</x:v>
      </x:c>
      <x:c r="D34" s="20" t="n">
        <x:v>1</x:v>
      </x:c>
      <x:c r="E34" s="20" t="str">
        <x:v>goods</x:v>
      </x:c>
      <x:c r="F34" s="21" t="n">
        <x:v>6000</x:v>
      </x:c>
      <x:c r="G34" s="22" t="n">
        <x:f>IF(COUNT(F34)=1,F34*IF(E34="equipment",Inputs!D9,Inputs!D10),NA())</x:f>
        <x:v>6000</x:v>
      </x:c>
      <x:c r="H34" s="22" t="n">
        <x:f>G34*IF(OR(E34="equipment",E34="goods"),(1+Inputs!D18)*(1+Inputs!D17),1)</x:f>
        <x:v>6964.65</x:v>
      </x:c>
      <x:c r="I34" s="23" t="n">
        <x:f>IF(COUNT(D34)=1,D34*H34,NA())</x:f>
        <x:v>6964.65</x:v>
      </x:c>
      <x:c r="J34" s="23" t="n">
        <x:f>IF(AND(E34="equipment",H34&gt;=5000),I34,0)</x:f>
        <x:v>0</x:v>
      </x:c>
      <x:c r="K34" s="4" t="str">
        <x:v>P-UNIFY</x:v>
      </x:c>
    </x:row>
    <x:row r="35" ht="30" customHeight="1">
      <x:c r="A35" s="1"/>
      <x:c r="B35" s="1"/>
      <x:c r="C35" s="4" t="str">
        <x:v>Candidate / control material qualification lots</x:v>
      </x:c>
      <x:c r="D35" s="20" t="n">
        <x:v>6</x:v>
      </x:c>
      <x:c r="E35" s="20" t="str">
        <x:v>goods</x:v>
      </x:c>
      <x:c r="F35" s="21" t="n">
        <x:v>3000</x:v>
      </x:c>
      <x:c r="G35" s="22" t="n">
        <x:f>IF(COUNT(F35)=1,F35*IF(E35="equipment",Inputs!D9,Inputs!D10),NA())</x:f>
        <x:v>3000</x:v>
      </x:c>
      <x:c r="H35" s="22" t="n">
        <x:f>G35*IF(OR(E35="equipment",E35="goods"),(1+Inputs!D18)*(1+Inputs!D17),1)</x:f>
        <x:v>3482.325</x:v>
      </x:c>
      <x:c r="I35" s="23" t="n">
        <x:f>IF(COUNT(D35)=1,D35*H35,NA())</x:f>
        <x:v>20893.949999999997</x:v>
      </x:c>
      <x:c r="J35" s="23" t="n">
        <x:f>IF(AND(E35="equipment",H35&gt;=5000),I35,0)</x:f>
        <x:v>0</x:v>
      </x:c>
      <x:c r="K35" s="4" t="str">
        <x:v>P-UNIFY</x:v>
      </x:c>
    </x:row>
    <x:row r="36" ht="30" customHeight="1">
      <x:c r="A36" s="1"/>
      <x:c r="B36" s="1"/>
      <x:c r="C36" s="4" t="str">
        <x:v>Regeneration and finishing consumables</x:v>
      </x:c>
      <x:c r="D36" s="20" t="n">
        <x:v>18</x:v>
      </x:c>
      <x:c r="E36" s="20" t="str">
        <x:v>goods</x:v>
      </x:c>
      <x:c r="F36" s="21" t="n">
        <x:v>2500</x:v>
      </x:c>
      <x:c r="G36" s="22" t="n">
        <x:f>IF(COUNT(F36)=1,F36*IF(E36="equipment",Inputs!D9,Inputs!D10),NA())</x:f>
        <x:v>2500</x:v>
      </x:c>
      <x:c r="H36" s="22" t="n">
        <x:f>G36*IF(OR(E36="equipment",E36="goods"),(1+Inputs!D18)*(1+Inputs!D17),1)</x:f>
        <x:v>2901.9374999999995</x:v>
      </x:c>
      <x:c r="I36" s="23" t="n">
        <x:f>IF(COUNT(D36)=1,D36*H36,NA())</x:f>
        <x:v>52234.87499999999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Development and confirmation feed logistics</x:v>
      </x:c>
      <x:c r="D37" s="20" t="n">
        <x:v>6</x:v>
      </x:c>
      <x:c r="E37" s="20" t="str">
        <x:v>service</x:v>
      </x:c>
      <x:c r="F37" s="21" t="n">
        <x:v>1500</x:v>
      </x:c>
      <x:c r="G37" s="22" t="n">
        <x:f>IF(COUNT(F37)=1,F37*IF(E37="equipment",Inputs!D9,Inputs!D10),NA())</x:f>
        <x:v>1500</x:v>
      </x:c>
      <x:c r="H37" s="22" t="n">
        <x:f>G37*IF(OR(E37="equipment",E37="goods"),(1+Inputs!D18)*(1+Inputs!D17),1)</x:f>
        <x:v>1500</x:v>
      </x:c>
      <x:c r="I37" s="23" t="n">
        <x:f>IF(COUNT(D37)=1,D37*H37,NA())</x:f>
        <x:v>9000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Solid composition and product characterization</x:v>
      </x:c>
      <x:c r="D38" s="20" t="n">
        <x:v>72</x:v>
      </x:c>
      <x:c r="E38" s="20" t="str">
        <x:v>service</x:v>
      </x:c>
      <x:c r="F38" s="21" t="n">
        <x:v>180</x:v>
      </x:c>
      <x:c r="G38" s="22" t="n">
        <x:f>IF(COUNT(F38)=1,F38*IF(E38="equipment",Inputs!D9,Inputs!D10),NA())</x:f>
        <x:v>180</x:v>
      </x:c>
      <x:c r="H38" s="22" t="n">
        <x:f>G38*IF(OR(E38="equipment",E38="goods"),(1+Inputs!D18)*(1+Inputs!D17),1)</x:f>
        <x:v>180</x:v>
      </x:c>
      <x:c r="I38" s="23" t="n">
        <x:f>IF(COUNT(D38)=1,D38*H38,NA())</x:f>
        <x:v>12960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Boron or material-specific analytical package</x:v>
      </x:c>
      <x:c r="D39" s="20" t="n">
        <x:v>84</x:v>
      </x:c>
      <x:c r="E39" s="20" t="str">
        <x:v>service</x:v>
      </x:c>
      <x:c r="F39" s="21" t="n">
        <x:v>100</x:v>
      </x:c>
      <x:c r="G39" s="22" t="n">
        <x:f>IF(COUNT(F39)=1,F39*IF(E39="equipment",Inputs!D9,Inputs!D10),NA())</x:f>
        <x:v>100</x:v>
      </x:c>
      <x:c r="H39" s="22" t="n">
        <x:f>G39*IF(OR(E39="equipment",E39="goods"),(1+Inputs!D18)*(1+Inputs!D17),1)</x:f>
        <x:v>100</x:v>
      </x:c>
      <x:c r="I39" s="23" t="n">
        <x:f>IF(COUNT(D39)=1,D39*H39,NA())</x:f>
        <x:v>8400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Matrix, leaching and material-loss qualification</x:v>
      </x:c>
      <x:c r="D40" s="20" t="n">
        <x:v>80</x:v>
      </x:c>
      <x:c r="E40" s="20" t="str">
        <x:v>service</x:v>
      </x:c>
      <x:c r="F40" s="21" t="n">
        <x:v>150</x:v>
      </x:c>
      <x:c r="G40" s="22" t="n">
        <x:f>IF(COUNT(F40)=1,F40*IF(E40="equipment",Inputs!D9,Inputs!D10),NA())</x:f>
        <x:v>150</x:v>
      </x:c>
      <x:c r="H40" s="22" t="n">
        <x:f>G40*IF(OR(E40="equipment",E40="goods"),(1+Inputs!D18)*(1+Inputs!D17),1)</x:f>
        <x:v>150</x:v>
      </x:c>
      <x:c r="I40" s="23" t="n">
        <x:f>IF(COUNT(D40)=1,D40*H40,NA())</x:f>
        <x:v>12000</x:v>
      </x:c>
      <x:c r="J40" s="23" t="n">
        <x:f>IF(AND(E40="equipment",H40&gt;=5000),I40,0)</x:f>
        <x:v>0</x:v>
      </x:c>
      <x:c r="K40" s="4" t="str">
        <x:v>P-UNIFY</x:v>
      </x:c>
    </x:row>
    <x:row r="41" ht="30" customHeight="1">
      <x:c r="A41" s="1"/>
      <x:c r="B41" s="1"/>
      <x:c r="C41" s="4" t="str">
        <x:v>Independent process-value and product review</x:v>
      </x:c>
      <x:c r="D41" s="20" t="n">
        <x:v>100</x:v>
      </x:c>
      <x:c r="E41" s="20" t="str">
        <x:v>service</x:v>
      </x:c>
      <x:c r="F41" s="21" t="n">
        <x:v>150</x:v>
      </x:c>
      <x:c r="G41" s="22" t="n">
        <x:f>IF(COUNT(F41)=1,F41*IF(E41="equipment",Inputs!D9,Inputs!D10),NA())</x:f>
        <x:v>150</x:v>
      </x:c>
      <x:c r="H41" s="22" t="n">
        <x:f>G41*IF(OR(E41="equipment",E41="goods"),(1+Inputs!D18)*(1+Inputs!D17),1)</x:f>
        <x:v>150</x:v>
      </x:c>
      <x:c r="I41" s="23" t="n">
        <x:f>IF(COUNT(D41)=1,D41*H41,NA())</x:f>
        <x:v>15000</x:v>
      </x:c>
      <x:c r="J41" s="23" t="n">
        <x:f>IF(AND(E41="equipment",H41&gt;=5000),I41,0)</x:f>
        <x:v>0</x:v>
      </x:c>
      <x:c r="K41" s="4" t="str">
        <x:v>P-UNIFY</x:v>
      </x:c>
    </x:row>
    <x:row r="42" ht="30" customHeight="1">
      <x:c r="A42" s="1"/>
      <x:c r="B42" s="1"/>
      <x:c r="C42" s="4" t="str">
        <x:v>Specialist fabrication / commissioning</x:v>
      </x:c>
      <x:c r="D42" s="20" t="n">
        <x:v>120</x:v>
      </x:c>
      <x:c r="E42" s="20" t="str">
        <x:v>service</x:v>
      </x:c>
      <x:c r="F42" s="21" t="n">
        <x:v>125</x:v>
      </x:c>
      <x:c r="G42" s="22" t="n">
        <x:f>IF(COUNT(F42)=1,F42*IF(E42="equipment",Inputs!D9,Inputs!D10),NA())</x:f>
        <x:v>125</x:v>
      </x:c>
      <x:c r="H42" s="22" t="n">
        <x:f>G42*IF(OR(E42="equipment",E42="goods"),(1+Inputs!D18)*(1+Inputs!D17),1)</x:f>
        <x:v>125</x:v>
      </x:c>
      <x:c r="I42" s="23" t="n">
        <x:f>IF(COUNT(D42)=1,D42*H42,NA())</x:f>
        <x:v>15000</x:v>
      </x:c>
      <x:c r="J42" s="23" t="n">
        <x:f>IF(AND(E42="equipment",H42&gt;=5000),I42,0)</x:f>
        <x:v>0</x:v>
      </x:c>
      <x:c r="K42" s="4" t="str">
        <x:v>P-UNIFY</x:v>
      </x:c>
    </x:row>
    <x:row r="43" ht="30" customHeight="1">
      <x:c r="A43" s="1"/>
      <x:c r="B43" s="1"/>
      <x:c r="C43" s="4" t="str">
        <x:v>Residual packaging and disposal</x:v>
      </x:c>
      <x:c r="D43" s="20" t="n">
        <x:v>18</x:v>
      </x:c>
      <x:c r="E43" s="20" t="str">
        <x:v>service</x:v>
      </x:c>
      <x:c r="F43" s="21" t="n">
        <x:v>600</x:v>
      </x:c>
      <x:c r="G43" s="22" t="n">
        <x:f>IF(COUNT(F43)=1,F43*IF(E43="equipment",Inputs!D9,Inputs!D10),NA())</x:f>
        <x:v>600</x:v>
      </x:c>
      <x:c r="H43" s="22" t="n">
        <x:f>G43*IF(OR(E43="equipment",E43="goods"),(1+Inputs!D18)*(1+Inputs!D17),1)</x:f>
        <x:v>600</x:v>
      </x:c>
      <x:c r="I43" s="23" t="n">
        <x:f>IF(COUNT(D43)=1,D43*H43,NA())</x:f>
        <x:v>10800</x:v>
      </x:c>
      <x:c r="J43" s="23" t="n">
        <x:f>IF(AND(E43="equipment",H43&gt;=5000),I43,0)</x:f>
        <x:v>0</x:v>
      </x:c>
      <x:c r="K43" s="4" t="str">
        <x:v>P-UNIFY</x:v>
      </x:c>
    </x:row>
    <x:row r="44" ht="30" customHeight="1">
      <x:c r="A44" s="1"/>
      <x:c r="B44" s="1"/>
      <x:c r="C44" s="4" t="str">
        <x:v>Replacement materials, parts and standards</x:v>
      </x:c>
      <x:c r="D44" s="20" t="n">
        <x:v>1</x:v>
      </x:c>
      <x:c r="E44" s="20" t="str">
        <x:v>goods</x:v>
      </x:c>
      <x:c r="F44" s="21" t="n">
        <x:v>8000</x:v>
      </x:c>
      <x:c r="G44" s="22" t="n">
        <x:f>IF(COUNT(F44)=1,F44*IF(E44="equipment",Inputs!D9,Inputs!D10),NA())</x:f>
        <x:v>8000</x:v>
      </x:c>
      <x:c r="H44" s="22" t="n">
        <x:f>G44*IF(OR(E44="equipment",E44="goods"),(1+Inputs!D18)*(1+Inputs!D17),1)</x:f>
        <x:v>9286.199999999999</x:v>
      </x:c>
      <x:c r="I44" s="23" t="n">
        <x:f>IF(COUNT(D44)=1,D44*H44,NA())</x:f>
        <x:v>9286.199999999999</x:v>
      </x:c>
      <x:c r="J44" s="23" t="n">
        <x:f>IF(AND(E44="equipment",H44&gt;=5000),I44,0)</x:f>
        <x:v>0</x:v>
      </x:c>
      <x:c r="K44" s="4" t="str">
        <x:v>P-UNIFY</x:v>
      </x:c>
    </x:row>
    <x:row r="45">
      <x:c r="A45" s="1"/>
      <x:c r="B45" s="1"/>
      <x:c r="C45" s="2"/>
      <x:c r="D45" s="2"/>
      <x:c r="E45" s="2"/>
      <x:c r="F45" s="2"/>
      <x:c r="G45" s="2"/>
      <x:c r="H45" s="2"/>
      <x:c r="I45" s="2"/>
      <x:c r="J45" s="2"/>
      <x:c r="K45" s="2"/>
    </x:row>
    <x:row r="46">
      <x:c r="A46" s="1"/>
      <x:c r="B46" s="1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32" customHeight="1">
      <x:c r="A47" s="1"/>
      <x:c r="B47" s="1"/>
      <x:c r="C47" s="9" t="str">
        <x:v>Funding build</x:v>
      </x:c>
      <x:c r="D47" s="9" t="str"/>
      <x:c r="E47" s="9" t="str"/>
      <x:c r="F47" s="9" t="str"/>
      <x:c r="G47" s="9" t="str"/>
      <x:c r="H47" s="9" t="str"/>
      <x:c r="I47" s="9" t="str">
        <x:v>Amount</x:v>
      </x:c>
      <x:c r="J47" s="9" t="str"/>
      <x:c r="K47" s="9" t="str"/>
    </x:row>
    <x:row r="48">
      <x:c r="A48" s="1"/>
      <x:c r="B48" s="1"/>
      <x:c r="C48" s="2" t="str">
        <x:v>Other direct costs</x:v>
      </x:c>
      <x:c r="D48" s="2"/>
      <x:c r="E48" s="2"/>
      <x:c r="F48" s="2"/>
      <x:c r="G48" s="2"/>
      <x:c r="H48" s="2"/>
      <x:c r="I48" s="17" t="n">
        <x:f>SUM(I28:I44)</x:f>
        <x:v>298365.36345</x:v>
      </x:c>
      <x:c r="J48" s="2"/>
      <x:c r="K48" s="2"/>
    </x:row>
    <x:row r="49">
      <x:c r="A49" s="1"/>
      <x:c r="B49" s="1"/>
      <x:c r="C49" s="2" t="str">
        <x:v>Total direct costs</x:v>
      </x:c>
      <x:c r="D49" s="2"/>
      <x:c r="E49" s="2"/>
      <x:c r="F49" s="2"/>
      <x:c r="G49" s="2"/>
      <x:c r="H49" s="2"/>
      <x:c r="I49" s="17" t="n">
        <x:f>I15+I24+I48</x:f>
        <x:v>1871732.0603820002</x:v>
      </x:c>
      <x:c r="J49" s="2"/>
      <x:c r="K49" s="2"/>
    </x:row>
    <x:row r="50">
      <x:c r="A50" s="1"/>
      <x:c r="B50" s="1"/>
      <x:c r="C50" s="2" t="str">
        <x:v>Equipment excluded from MTDC</x:v>
      </x:c>
      <x:c r="D50" s="2"/>
      <x:c r="E50" s="2"/>
      <x:c r="F50" s="2"/>
      <x:c r="G50" s="2"/>
      <x:c r="H50" s="2"/>
      <x:c r="I50" s="17" t="n">
        <x:f>SUM(J28:J44)</x:f>
        <x:v>125825.68844999999</x:v>
      </x:c>
      <x:c r="J50" s="2"/>
      <x:c r="K50" s="2"/>
    </x:row>
    <x:row r="51">
      <x:c r="A51" s="1"/>
      <x:c r="B51" s="1"/>
      <x:c r="C51" s="2" t="str">
        <x:v>Modified direct-cost base</x:v>
      </x:c>
      <x:c r="D51" s="2"/>
      <x:c r="E51" s="2"/>
      <x:c r="F51" s="2"/>
      <x:c r="G51" s="2"/>
      <x:c r="H51" s="2"/>
      <x:c r="I51" s="17" t="n">
        <x:f>I49-I50</x:f>
        <x:v>1745906.3719320002</x:v>
      </x:c>
      <x:c r="J51" s="2"/>
      <x:c r="K51" s="2"/>
    </x:row>
    <x:row r="52">
      <x:c r="A52" s="1"/>
      <x:c r="B52" s="1"/>
      <x:c r="C52" s="2" t="str">
        <x:v>Institutional cost / F&amp;A</x:v>
      </x:c>
      <x:c r="D52" s="2"/>
      <x:c r="E52" s="2"/>
      <x:c r="F52" s="2"/>
      <x:c r="G52" s="2"/>
      <x:c r="H52" s="2"/>
      <x:c r="I52" s="18" t="n">
        <x:f>I51*Inputs!D15</x:f>
        <x:v>968978.0364222602</x:v>
      </x:c>
      <x:c r="J52" s="2"/>
      <x:c r="K52" s="2"/>
    </x:row>
    <x:row r="53">
      <x:c r="A53" s="1"/>
      <x:c r="B53" s="1"/>
      <x:c r="C53" s="2" t="str">
        <x:v>Direct plus institutional</x:v>
      </x:c>
      <x:c r="D53" s="2"/>
      <x:c r="E53" s="2"/>
      <x:c r="F53" s="2"/>
      <x:c r="G53" s="2"/>
      <x:c r="H53" s="2"/>
      <x:c r="I53" s="17" t="n">
        <x:f>I49+I52</x:f>
        <x:v>2840710.0968042603</x:v>
      </x:c>
      <x:c r="J53" s="2"/>
      <x:c r="K53" s="2"/>
    </x:row>
    <x:row r="54">
      <x:c r="A54" s="1"/>
      <x:c r="B54" s="1"/>
      <x:c r="C54" s="2" t="str">
        <x:v>Risk reserve</x:v>
      </x:c>
      <x:c r="D54" s="2"/>
      <x:c r="E54" s="2"/>
      <x:c r="F54" s="2"/>
      <x:c r="G54" s="2"/>
      <x:c r="H54" s="2"/>
      <x:c r="I54" s="18" t="n">
        <x:f>I53*Inputs!D16</x:f>
        <x:v>426106.51452063903</x:v>
      </x:c>
      <x:c r="J54" s="2"/>
      <x:c r="K54" s="2"/>
    </x:row>
    <x:row r="55">
      <x:c r="A55" s="1"/>
      <x:c r="B55" s="1"/>
      <x:c r="C55" s="8" t="str">
        <x:v>PRELIMINARY FUNDING ENVELOPE</x:v>
      </x:c>
      <x:c r="D55" s="8"/>
      <x:c r="E55" s="8"/>
      <x:c r="F55" s="8"/>
      <x:c r="G55" s="8"/>
      <x:c r="H55" s="8"/>
      <x:c r="I55" s="25" t="n">
        <x:f>SUM(I53:I54)</x:f>
        <x:v>3266816.6113248994</x:v>
      </x:c>
      <x:c r="J55" s="8"/>
      <x:c r="K55" s="8"/>
    </x:row>
    <x:row r="56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</x:row>
    <x:row r="57">
      <x:c r="A57" s="1"/>
      <x:c r="B57" s="1"/>
      <x:c r="C57" s="2" t="str">
        <x:v>Reconciliation difference (must be zero)</x:v>
      </x:c>
      <x:c r="D57" s="2"/>
      <x:c r="E57" s="2"/>
      <x:c r="F57" s="2"/>
      <x:c r="G57" s="2"/>
      <x:c r="H57" s="2"/>
      <x:c r="I57" s="17" t="n">
        <x:f>ROUND(I55-I15-I24-I48-I52-I54,2)</x:f>
        <x:v>0</x:v>
      </x:c>
      <x:c r="J57" s="2"/>
      <x:c r="K57" s="2"/>
    </x:row>
    <x:row r="58">
      <x:c r="A58" s="1"/>
      <x:c r="B58" s="1"/>
      <x:c r="C58" s="2"/>
      <x:c r="D58" s="2"/>
      <x:c r="E58" s="2"/>
      <x:c r="F58" s="2"/>
      <x:c r="G58" s="2"/>
      <x:c r="H58" s="2"/>
      <x:c r="I58" s="2"/>
      <x:c r="J58" s="2"/>
      <x:c r="K58" s="2"/>
    </x:row>
    <x:row r="59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54" customHeight="1">
      <x:c r="A60" s="1"/>
      <x:c r="B60" s="1"/>
      <x:c r="C60" s="4" t="str">
        <x:v>Choose one native target, an obtainable material/process and an accepted service specification; complete an element-level comparison before any invention claim. All quantities are unquoted planning ceilings. Confirmation precision and exact analytical methods require host/scientific review.</x:v>
      </x:c>
      <x:c r="D60" s="4"/>
      <x:c r="E60" s="4"/>
      <x:c r="F60" s="4"/>
      <x:c r="G60" s="4"/>
      <x:c r="H60" s="4"/>
      <x:c r="I60" s="4"/>
      <x:c r="J60" s="4"/>
      <x:c r="K60" s="4"/>
    </x:row>
    <x:row r="61" ht="38" customHeight="1">
      <x:c r="A61" s="1"/>
      <x:c r="B61" s="1"/>
      <x:c r="C61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61" s="4"/>
      <x:c r="E61" s="4"/>
      <x:c r="F61" s="4"/>
      <x:c r="G61" s="4"/>
      <x:c r="H61" s="4"/>
      <x:c r="I61" s="4"/>
      <x:c r="J61" s="4"/>
      <x:c r="K61" s="4"/>
    </x:row>
    <x:row r="62">
      <x:c r="A62" s="1"/>
      <x:c r="B62" s="1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38" customHeight="1">
      <x:c r="A63" s="1"/>
      <x:c r="B63" s="1"/>
      <x:c r="C63" s="4" t="str">
        <x:v>Row 28 • 2 assembly • Project planning allowance; no quote.  [P-UNIFY]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29 • 1 assembly • Project planning allowance; no quote.  [P-UNIFY]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30 • 1 assembly • Project planning allowance; no quote.  [P-UNIFY]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31 • 1 assembly • Project planning allowance; no quote.  [P-UNIFY]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32 • 2 each • Shared price anchor; final material and duty require qualification. [B08]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33 • 1 assembly • Project planning allowance; no quote.  [P-UNIFY]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34 • 1 lot • Project planning allowance; no quote.  [P-UNIFY]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35 • 6 lot • Project planning allowance; no quote. Screen magnesium recovery and boron removal, then choose one target. [P-UNIFY]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36 • 18 funded month • 18 funded months × $2,500 for up to 24 screens and six 100-cycle campaigns. Conditional upper-scope allowance for resin regeneration, precipitation and finishing consumables; not a vendor quote.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37 • 6 collection • Three development and three later confirmation collections; planning logistics allowance, no source secured. [P-COST]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38 • 72 sample-equivalent • 24 screening plus 42 confirmation-checkpoint solids, with six independent repeat/preparation allowances. Product methods require a laboratory quote. [P-COST]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39 • 84 panel-equivalent • Target/material-specific supplement to routine elemental panels; seven checkpoint packages for each of six campaigns plus matched material/blank packages. No validated method or quoted price assumed. [P-COST]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40 • 80 hour • Project planning allowance; no quote.  [P-UNIFY]</x:v>
      </x:c>
      <x:c r="D75" s="4"/>
      <x:c r="E75" s="4"/>
      <x:c r="F75" s="4"/>
      <x:c r="G75" s="4"/>
      <x:c r="H75" s="4"/>
      <x:c r="I75" s="4"/>
      <x:c r="J75" s="4"/>
      <x:c r="K75" s="4"/>
    </x:row>
    <x:row r="76" ht="38" customHeight="1">
      <x:c r="A76" s="1"/>
      <x:c r="B76" s="1"/>
      <x:c r="C76" s="4" t="str">
        <x:v>Row 41 • 100 hour • Project planning allowance; no quote.  [P-UNIFY]</x:v>
      </x:c>
      <x:c r="D76" s="4"/>
      <x:c r="E76" s="4"/>
      <x:c r="F76" s="4"/>
      <x:c r="G76" s="4"/>
      <x:c r="H76" s="4"/>
      <x:c r="I76" s="4"/>
      <x:c r="J76" s="4"/>
      <x:c r="K76" s="4"/>
    </x:row>
    <x:row r="77" ht="38" customHeight="1">
      <x:c r="A77" s="1"/>
      <x:c r="B77" s="1"/>
      <x:c r="C77" s="4" t="str">
        <x:v>Row 42 • 120 hour • Project planning allowance; no quote.  [P-UNIFY]</x:v>
      </x:c>
      <x:c r="D77" s="4"/>
      <x:c r="E77" s="4"/>
      <x:c r="F77" s="4"/>
      <x:c r="G77" s="4"/>
      <x:c r="H77" s="4"/>
      <x:c r="I77" s="4"/>
      <x:c r="J77" s="4"/>
      <x:c r="K77" s="4"/>
    </x:row>
    <x:row r="78" ht="38" customHeight="1">
      <x:c r="A78" s="1"/>
      <x:c r="B78" s="1"/>
      <x:c r="C78" s="4" t="str">
        <x:v>Row 43 • 18 drum-equivalent • Project planning allowance; no quote.  [P-UNIFY]</x:v>
      </x:c>
      <x:c r="D78" s="4"/>
      <x:c r="E78" s="4"/>
      <x:c r="F78" s="4"/>
      <x:c r="G78" s="4"/>
      <x:c r="H78" s="4"/>
      <x:c r="I78" s="4"/>
      <x:c r="J78" s="4"/>
      <x:c r="K78" s="4"/>
    </x:row>
    <x:row r="79" ht="38" customHeight="1">
      <x:c r="A79" s="1"/>
      <x:c r="B79" s="1"/>
      <x:c r="C79" s="4" t="str">
        <x:v>Row 44 • 1 lot • Project planning allowance; no quote.  [P-UNIFY]</x:v>
      </x:c>
      <x:c r="D79" s="4"/>
      <x:c r="E79" s="4"/>
      <x:c r="F79" s="4"/>
      <x:c r="G79" s="4"/>
      <x:c r="H79" s="4"/>
      <x:c r="I79" s="4"/>
      <x:c r="J79" s="4"/>
      <x:c r="K79" s="4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A target-specific comparison of cumulative qualifying output and total capture/regeneration/finishing burden, including lost support material.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Choose one native target, an obtainable material/process and an accepted service specification; complete an element-level comparison before any invention claim.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Up to 24 development runs and six campaigns of up to 100 cycles; 2,202 principal panels at the full ceiling.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https://waterfromenergy.com/research-review.html#study-d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S10 • The CARMEn project: A sustainable and circular brine treatment chain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https://iris.polito.it/retrieve/0f53ab6c-c422-4e57-af1e-454524ac06af/1-s2.0-S001191642501118X-main.pdf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S12 • Magnetic Nanoparticle Extraction of Lithium from Produced Waters (CRADA 483) Final Project Report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https://www.pnnl.gov/main/publications/external/technical_reports/PNNL-35345.pdf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S13 • Energy-Efficient Seawater Lithium Extraction via a Reversible Redox-Hydrogen Coupled System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https://www.nature.com/articles/s41467-026-72464-y</x:v>
      </x:c>
      <x:c r="D113" s="4"/>
      <x:c r="E113" s="4"/>
      <x:c r="F113" s="4"/>
      <x:c r="G113" s="4"/>
      <x:c r="H113" s="4"/>
      <x:c r="I113" s="4"/>
      <x:c r="J113" s="4"/>
      <x:c r="K113" s="4"/>
    </x:row>
    <x:row r="114" ht="46" customHeight="1">
      <x:c r="A114" s="1"/>
      <x:c r="B114" s="1"/>
      <x:c r="C114" s="4" t="str">
        <x:v>S14 • Li-air chemistry inspired electrodialysis for direct lithium carbonate production from seawater</x:v>
      </x:c>
      <x:c r="D114" s="4"/>
      <x:c r="E114" s="4"/>
      <x:c r="F114" s="4"/>
      <x:c r="G114" s="4"/>
      <x:c r="H114" s="4"/>
      <x:c r="I114" s="4"/>
      <x:c r="J114" s="4"/>
      <x:c r="K114" s="4"/>
    </x:row>
    <x:row r="115" ht="46" customHeight="1">
      <x:c r="A115" s="1"/>
      <x:c r="B115" s="1"/>
      <x:c r="C115" s="4" t="str">
        <x:v>https://www.nature.com/articles/s41467-026-75055-z</x:v>
      </x:c>
      <x:c r="D115" s="4"/>
      <x:c r="E115" s="4"/>
      <x:c r="F115" s="4"/>
      <x:c r="G115" s="4"/>
      <x:c r="H115" s="4"/>
      <x:c r="I115" s="4"/>
      <x:c r="J115" s="4"/>
      <x:c r="K115" s="4"/>
    </x:row>
    <x:row r="116" ht="46" customHeight="1">
      <x:c r="A116" s="1"/>
      <x:c r="B116" s="1"/>
      <x:c r="C116" s="4" t="str">
        <x:v>S19 • Pilot-scale removal and recovery of dissolved phosphate from secondary wastewater effluents with reusable ZnFeZr adsorbent @ Fe3O4/SiO2 particles with magnetic harvesting</x:v>
      </x:c>
      <x:c r="D116" s="4"/>
      <x:c r="E116" s="4"/>
      <x:c r="F116" s="4"/>
      <x:c r="G116" s="4"/>
      <x:c r="H116" s="4"/>
      <x:c r="I116" s="4"/>
      <x:c r="J116" s="4"/>
      <x:c r="K116" s="4"/>
    </x:row>
    <x:row r="117" ht="46" customHeight="1">
      <x:c r="A117" s="1"/>
      <x:c r="B117" s="1"/>
      <x:c r="C117" s="4" t="str">
        <x:v>https://cris.fau.de/publications/236819169/</x:v>
      </x:c>
      <x:c r="D117" s="4"/>
      <x:c r="E117" s="4"/>
      <x:c r="F117" s="4"/>
      <x:c r="G117" s="4"/>
      <x:c r="H117" s="4"/>
      <x:c r="I117" s="4"/>
      <x:c r="J117" s="4"/>
      <x:c r="K117" s="4"/>
    </x:row>
    <x:row r="118" ht="46" customHeight="1">
      <x:c r="A118" s="1"/>
      <x:c r="B118" s="1"/>
      <x:c r="C118" s="4" t="str">
        <x:v>S21 • A pilot plant investigation on a real seawater brine valorisation via electrodialysis with bipolar membranes</x:v>
      </x:c>
      <x:c r="D118" s="4"/>
      <x:c r="E118" s="4"/>
      <x:c r="F118" s="4"/>
      <x:c r="G118" s="4"/>
      <x:c r="H118" s="4"/>
      <x:c r="I118" s="4"/>
      <x:c r="J118" s="4"/>
      <x:c r="K118" s="4"/>
    </x:row>
    <x:row r="119" ht="46" customHeight="1">
      <x:c r="A119" s="1"/>
      <x:c r="B119" s="1"/>
      <x:c r="C119" s="4" t="str">
        <x:v>https://www.sciencedirect.com/science/article/pii/S2214714424019731</x:v>
      </x:c>
      <x:c r="D119" s="4"/>
      <x:c r="E119" s="4"/>
      <x:c r="F119" s="4"/>
      <x:c r="G119" s="4"/>
      <x:c r="H119" s="4"/>
      <x:c r="I119" s="4"/>
      <x:c r="J119" s="4"/>
      <x:c r="K119" s="4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Conditional target-specific validation; material novelty not defined; prior-art references: N16, N17, N29, N30, S23, S13, S14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https://waterfromenergy.com/research-program.html#study-d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For one native feed and one product or removal service, does the proposed recovery route outperform the strongest conventional route after regeneration, material loss and finishing?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60:K60"/>
    <x:mergeCell ref="C61:K61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76:K76"/>
    <x:mergeCell ref="C77:K77"/>
    <x:mergeCell ref="C78:K78"/>
    <x:mergeCell ref="C79:K79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14:K114"/>
    <x:mergeCell ref="C115:K115"/>
    <x:mergeCell ref="C116:K116"/>
    <x:mergeCell ref="C117:K117"/>
    <x:mergeCell ref="C118:K118"/>
    <x:mergeCell ref="C119:K119"/>
    <x:mergeCell ref="C121:K121"/>
    <x:mergeCell ref="C122:K122"/>
    <x:mergeCell ref="C123:K123"/>
    <x:mergeCell ref="C124:K124"/>
  </x:mergeCells>
  <x:conditionalFormatting sqref="I57:I57">
    <x:cfRule type="cellIs" dxfId="3" priority="1" operator="notEqual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E • Control the water cost of mineral washing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12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Up to 42 development runs; 24 confirmation campaigns of ten cycles; 2,820 principal panels.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12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32476.800000000003</x:v>
      </x:c>
      <x:c r="I8" s="17" t="n">
        <x:f>H8*(1+J8)</x:f>
        <x:v>42999.283200000005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12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131886</x:v>
      </x:c>
      <x:c r="I9" s="17" t="n">
        <x:f>H9*(1+J9)</x:f>
        <x:v>174617.064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0.5</x:v>
      </x:c>
      <x:c r="E10" s="2" t="n">
        <x:f>IF(AND(ISNUMBER($D$4),$D$4&gt;0),$D$4,NA())</x:f>
        <x:v>12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53214</x:v>
      </x:c>
      <x:c r="I10" s="17" t="n">
        <x:f>H10*(1+J10)</x:f>
        <x:v>70455.33600000001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12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57954</x:v>
      </x:c>
      <x:c r="I11" s="17" t="n">
        <x:f>H11*(1+J11)</x:f>
        <x:v>79686.75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</x:v>
      </x:c>
      <x:c r="E12" s="2" t="n">
        <x:f>IF(AND(ISNUMBER($D$4),$D$4&gt;0),$D$4,NA())</x:f>
        <x:v>12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10495.800000000001</x:v>
      </x:c>
      <x:c r="I12" s="17" t="n">
        <x:f>H12*(1+J12)</x:f>
        <x:v>13896.439200000003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12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135200</x:v>
      </x:c>
      <x:c r="I13" s="17" t="n">
        <x:f>H13*(1+J13)</x:f>
        <x:v>179004.80000000002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560659.6724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2820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437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3347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753075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Jacketed 5 L reactor</x:v>
      </x:c>
      <x:c r="D28" s="20" t="n">
        <x:v>2</x:v>
      </x:c>
      <x:c r="E28" s="20" t="str">
        <x:v>equipment</x:v>
      </x:c>
      <x:c r="F28" s="21" t="n">
        <x:v>4620</x:v>
      </x:c>
      <x:c r="G28" s="22" t="n">
        <x:f>IF(COUNT(F28)=1,F28*IF(E28="equipment",Inputs!D9,Inputs!D10),NA())</x:f>
        <x:v>4620</x:v>
      </x:c>
      <x:c r="H28" s="22" t="n">
        <x:f>G28*IF(OR(E28="equipment",E28="goods"),(1+Inputs!D18)*(1+Inputs!D17),1)</x:f>
        <x:v>5362.7805</x:v>
      </x:c>
      <x:c r="I28" s="23" t="n">
        <x:f>IF(COUNT(D28)=1,D28*H28,NA())</x:f>
        <x:v>10725.561</x:v>
      </x:c>
      <x:c r="J28" s="23" t="n">
        <x:f>IF(AND(E28="equipment",H28&gt;=5000),I28,0)</x:f>
        <x:v>10725.561</x:v>
      </x:c>
      <x:c r="K28" s="4" t="str">
        <x:v>B06</x:v>
      </x:c>
    </x:row>
    <x:row r="29" ht="30" customHeight="1">
      <x:c r="A29" s="1"/>
      <x:c r="B29" s="1"/>
      <x:c r="C29" s="4" t="str">
        <x:v>Temperature circulator</x:v>
      </x:c>
      <x:c r="D29" s="20" t="n">
        <x:v>2</x:v>
      </x:c>
      <x:c r="E29" s="20" t="str">
        <x:v>equipment</x:v>
      </x:c>
      <x:c r="F29" s="21" t="n">
        <x:v>7199</x:v>
      </x:c>
      <x:c r="G29" s="22" t="n">
        <x:f>IF(COUNT(F29)=1,F29*IF(E29="equipment",Inputs!D9,Inputs!D10),NA())</x:f>
        <x:v>7199</x:v>
      </x:c>
      <x:c r="H29" s="22" t="n">
        <x:f>G29*IF(OR(E29="equipment",E29="goods"),(1+Inputs!D18)*(1+Inputs!D17),1)</x:f>
        <x:v>8356.419225</x:v>
      </x:c>
      <x:c r="I29" s="23" t="n">
        <x:f>IF(COUNT(D29)=1,D29*H29,NA())</x:f>
        <x:v>16712.83845</x:v>
      </x:c>
      <x:c r="J29" s="23" t="n">
        <x:f>IF(AND(E29="equipment",H29&gt;=5000),I29,0)</x:f>
        <x:v>16712.83845</x:v>
      </x:c>
      <x:c r="K29" s="4" t="str">
        <x:v>B08</x:v>
      </x:c>
    </x:row>
    <x:row r="30" ht="30" customHeight="1">
      <x:c r="A30" s="1"/>
      <x:c r="B30" s="1"/>
      <x:c r="C30" s="4" t="str">
        <x:v>Dosing, pumping and resin-column assembly</x:v>
      </x:c>
      <x:c r="D30" s="20" t="n">
        <x:v>1</x:v>
      </x:c>
      <x:c r="E30" s="20" t="str">
        <x:v>equipment</x:v>
      </x:c>
      <x:c r="F30" s="21" t="n">
        <x:v>14000</x:v>
      </x:c>
      <x:c r="G30" s="22" t="n">
        <x:f>IF(COUNT(F30)=1,F30*IF(E30="equipment",Inputs!D9,Inputs!D10),NA())</x:f>
        <x:v>14000</x:v>
      </x:c>
      <x:c r="H30" s="22" t="n">
        <x:f>G30*IF(OR(E30="equipment",E30="goods"),(1+Inputs!D18)*(1+Inputs!D17),1)</x:f>
        <x:v>16250.849999999999</x:v>
      </x:c>
      <x:c r="I30" s="23" t="n">
        <x:f>IF(COUNT(D30)=1,D30*H30,NA())</x:f>
        <x:v>16250.849999999999</x:v>
      </x:c>
      <x:c r="J30" s="23" t="n">
        <x:f>IF(AND(E30="equipment",H30&gt;=5000),I30,0)</x:f>
        <x:v>16250.849999999999</x:v>
      </x:c>
      <x:c r="K30" s="4" t="str">
        <x:v>P-COST</x:v>
      </x:c>
    </x:row>
    <x:row r="31" ht="30" customHeight="1">
      <x:c r="A31" s="1"/>
      <x:c r="B31" s="1"/>
      <x:c r="C31" s="4" t="str">
        <x:v>Solids-separation and wash-filtration assembly</x:v>
      </x:c>
      <x:c r="D31" s="20" t="n">
        <x:v>1</x:v>
      </x:c>
      <x:c r="E31" s="20" t="str">
        <x:v>equipment</x:v>
      </x:c>
      <x:c r="F31" s="21" t="n">
        <x:v>12000</x:v>
      </x:c>
      <x:c r="G31" s="22" t="n">
        <x:f>IF(COUNT(F31)=1,F31*IF(E31="equipment",Inputs!D9,Inputs!D10),NA())</x:f>
        <x:v>12000</x:v>
      </x:c>
      <x:c r="H31" s="22" t="n">
        <x:f>G31*IF(OR(E31="equipment",E31="goods"),(1+Inputs!D18)*(1+Inputs!D17),1)</x:f>
        <x:v>13929.3</x:v>
      </x:c>
      <x:c r="I31" s="23" t="n">
        <x:f>IF(COUNT(D31)=1,D31*H31,NA())</x:f>
        <x:v>13929.3</x:v>
      </x:c>
      <x:c r="J31" s="23" t="n">
        <x:f>IF(AND(E31="equipment",H31&gt;=5000),I31,0)</x:f>
        <x:v>13929.3</x:v>
      </x:c>
      <x:c r="K31" s="4" t="str">
        <x:v>P-COST</x:v>
      </x:c>
    </x:row>
    <x:row r="32" ht="30" customHeight="1">
      <x:c r="A32" s="1"/>
      <x:c r="B32" s="1"/>
      <x:c r="C32" s="4" t="str">
        <x:v>Process sensors, balances and data-acquisition assembly</x:v>
      </x:c>
      <x:c r="D32" s="20" t="n">
        <x:v>1</x:v>
      </x:c>
      <x:c r="E32" s="20" t="str">
        <x:v>equipment</x:v>
      </x:c>
      <x:c r="F32" s="21" t="n">
        <x:v>14000</x:v>
      </x:c>
      <x:c r="G32" s="22" t="n">
        <x:f>IF(COUNT(F32)=1,F32*IF(E32="equipment",Inputs!D9,Inputs!D10),NA())</x:f>
        <x:v>14000</x:v>
      </x:c>
      <x:c r="H32" s="22" t="n">
        <x:f>G32*IF(OR(E32="equipment",E32="goods"),(1+Inputs!D18)*(1+Inputs!D17),1)</x:f>
        <x:v>16250.849999999999</x:v>
      </x:c>
      <x:c r="I32" s="23" t="n">
        <x:f>IF(COUNT(D32)=1,D32*H32,NA())</x:f>
        <x:v>16250.849999999999</x:v>
      </x:c>
      <x:c r="J32" s="23" t="n">
        <x:f>IF(AND(E32="equipment",H32&gt;=5000),I32,0)</x:f>
        <x:v>16250.849999999999</x:v>
      </x:c>
      <x:c r="K32" s="4" t="str">
        <x:v>P-COST</x:v>
      </x:c>
    </x:row>
    <x:row r="33" ht="30" customHeight="1">
      <x:c r="A33" s="1"/>
      <x:c r="B33" s="1"/>
      <x:c r="C33" s="4" t="str">
        <x:v>Matched downstream scale-challenge loop</x:v>
      </x:c>
      <x:c r="D33" s="20" t="n">
        <x:v>1</x:v>
      </x:c>
      <x:c r="E33" s="20" t="str">
        <x:v>equipment</x:v>
      </x:c>
      <x:c r="F33" s="21" t="n">
        <x:v>10000</x:v>
      </x:c>
      <x:c r="G33" s="22" t="n">
        <x:f>IF(COUNT(F33)=1,F33*IF(E33="equipment",Inputs!D9,Inputs!D10),NA())</x:f>
        <x:v>10000</x:v>
      </x:c>
      <x:c r="H33" s="22" t="n">
        <x:f>G33*IF(OR(E33="equipment",E33="goods"),(1+Inputs!D18)*(1+Inputs!D17),1)</x:f>
        <x:v>11607.749999999998</x:v>
      </x:c>
      <x:c r="I33" s="23" t="n">
        <x:f>IF(COUNT(D33)=1,D33*H33,NA())</x:f>
        <x:v>11607.749999999998</x:v>
      </x:c>
      <x:c r="J33" s="23" t="n">
        <x:f>IF(AND(E33="equipment",H33&gt;=5000),I33,0)</x:f>
        <x:v>11607.749999999998</x:v>
      </x:c>
      <x:c r="K33" s="4" t="str">
        <x:v>P-COST</x:v>
      </x:c>
    </x:row>
    <x:row r="34" ht="30" customHeight="1">
      <x:c r="A34" s="1"/>
      <x:c r="B34" s="1"/>
      <x:c r="C34" s="4" t="str">
        <x:v>Containment and installation supplies</x:v>
      </x:c>
      <x:c r="D34" s="20" t="n">
        <x:v>1</x:v>
      </x:c>
      <x:c r="E34" s="20" t="str">
        <x:v>goods</x:v>
      </x:c>
      <x:c r="F34" s="21" t="n">
        <x:v>6000</x:v>
      </x:c>
      <x:c r="G34" s="22" t="n">
        <x:f>IF(COUNT(F34)=1,F34*IF(E34="equipment",Inputs!D9,Inputs!D10),NA())</x:f>
        <x:v>6000</x:v>
      </x:c>
      <x:c r="H34" s="22" t="n">
        <x:f>G34*IF(OR(E34="equipment",E34="goods"),(1+Inputs!D18)*(1+Inputs!D17),1)</x:f>
        <x:v>6964.65</x:v>
      </x:c>
      <x:c r="I34" s="23" t="n">
        <x:f>IF(COUNT(D34)=1,D34*H34,NA())</x:f>
        <x:v>6964.65</x:v>
      </x:c>
      <x:c r="J34" s="23" t="n">
        <x:f>IF(AND(E34="equipment",H34&gt;=5000),I34,0)</x:f>
        <x:v>0</x:v>
      </x:c>
      <x:c r="K34" s="4" t="str">
        <x:v>P-COST</x:v>
      </x:c>
    </x:row>
    <x:row r="35" ht="30" customHeight="1">
      <x:c r="A35" s="1"/>
      <x:c r="B35" s="1"/>
      <x:c r="C35" s="4" t="str">
        <x:v>Resin, reagents, filters and sample containers</x:v>
      </x:c>
      <x:c r="D35" s="20" t="n">
        <x:v>282</x:v>
      </x:c>
      <x:c r="E35" s="20" t="str">
        <x:v>goods</x:v>
      </x:c>
      <x:c r="F35" s="21" t="n">
        <x:v>125</x:v>
      </x:c>
      <x:c r="G35" s="22" t="n">
        <x:f>IF(COUNT(F35)=1,F35*IF(E35="equipment",Inputs!D9,Inputs!D10),NA())</x:f>
        <x:v>125</x:v>
      </x:c>
      <x:c r="H35" s="22" t="n">
        <x:f>G35*IF(OR(E35="equipment",E35="goods"),(1+Inputs!D18)*(1+Inputs!D17),1)</x:f>
        <x:v>145.09687499999998</x:v>
      </x:c>
      <x:c r="I35" s="23" t="n">
        <x:f>IF(COUNT(D35)=1,D35*H35,NA())</x:f>
        <x:v>40917.31875</x:v>
      </x:c>
      <x:c r="J35" s="23" t="n">
        <x:f>IF(AND(E35="equipment",H35&gt;=5000),I35,0)</x:f>
        <x:v>0</x:v>
      </x:c>
      <x:c r="K35" s="4" t="str">
        <x:v>P-COST</x:v>
      </x:c>
    </x:row>
    <x:row r="36" ht="30" customHeight="1">
      <x:c r="A36" s="1"/>
      <x:c r="B36" s="1"/>
      <x:c r="C36" s="4" t="str">
        <x:v>Real-feed collection / transport</x:v>
      </x:c>
      <x:c r="D36" s="20" t="n">
        <x:v>9</x:v>
      </x:c>
      <x:c r="E36" s="20" t="str">
        <x:v>service</x:v>
      </x:c>
      <x:c r="F36" s="21" t="n">
        <x:v>500</x:v>
      </x:c>
      <x:c r="G36" s="22" t="n">
        <x:f>IF(COUNT(F36)=1,F36*IF(E36="equipment",Inputs!D9,Inputs!D10),NA())</x:f>
        <x:v>500</x:v>
      </x:c>
      <x:c r="H36" s="22" t="n">
        <x:f>G36*IF(OR(E36="equipment",E36="goods"),(1+Inputs!D18)*(1+Inputs!D17),1)</x:f>
        <x:v>500</x:v>
      </x:c>
      <x:c r="I36" s="23" t="n">
        <x:f>IF(COUNT(D36)=1,D36*H36,NA())</x:f>
        <x:v>4500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Characterization: XRD/SEM service allowance</x:v>
      </x:c>
      <x:c r="D37" s="20" t="n">
        <x:v>60</x:v>
      </x:c>
      <x:c r="E37" s="20" t="str">
        <x:v>service</x:v>
      </x:c>
      <x:c r="F37" s="21" t="n">
        <x:v>180</x:v>
      </x:c>
      <x:c r="G37" s="22" t="n">
        <x:f>IF(COUNT(F37)=1,F37*IF(E37="equipment",Inputs!D9,Inputs!D10),NA())</x:f>
        <x:v>180</x:v>
      </x:c>
      <x:c r="H37" s="22" t="n">
        <x:f>G37*IF(OR(E37="equipment",E37="goods"),(1+Inputs!D18)*(1+Inputs!D17),1)</x:f>
        <x:v>180</x:v>
      </x:c>
      <x:c r="I37" s="23" t="n">
        <x:f>IF(COUNT(D37)=1,D37*H37,NA())</x:f>
        <x:v>10800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Analytical method development / qualification</x:v>
      </x:c>
      <x:c r="D38" s="20" t="n">
        <x:v>90</x:v>
      </x:c>
      <x:c r="E38" s="20" t="str">
        <x:v>service</x:v>
      </x:c>
      <x:c r="F38" s="21" t="n">
        <x:v>150</x:v>
      </x:c>
      <x:c r="G38" s="22" t="n">
        <x:f>IF(COUNT(F38)=1,F38*IF(E38="equipment",Inputs!D9,Inputs!D10),NA())</x:f>
        <x:v>150</x:v>
      </x:c>
      <x:c r="H38" s="22" t="n">
        <x:f>G38*IF(OR(E38="equipment",E38="goods"),(1+Inputs!D18)*(1+Inputs!D17),1)</x:f>
        <x:v>150</x:v>
      </x:c>
      <x:c r="I38" s="23" t="n">
        <x:f>IF(COUNT(D38)=1,D38*H38,NA())</x:f>
        <x:v>13500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Residual packaging and disposal service</x:v>
      </x:c>
      <x:c r="D39" s="20" t="n">
        <x:v>18</x:v>
      </x:c>
      <x:c r="E39" s="20" t="str">
        <x:v>service</x:v>
      </x:c>
      <x:c r="F39" s="21" t="n">
        <x:v>600</x:v>
      </x:c>
      <x:c r="G39" s="22" t="n">
        <x:f>IF(COUNT(F39)=1,F39*IF(E39="equipment",Inputs!D9,Inputs!D10),NA())</x:f>
        <x:v>600</x:v>
      </x:c>
      <x:c r="H39" s="22" t="n">
        <x:f>G39*IF(OR(E39="equipment",E39="goods"),(1+Inputs!D18)*(1+Inputs!D17),1)</x:f>
        <x:v>600</x:v>
      </x:c>
      <x:c r="I39" s="23" t="n">
        <x:f>IF(COUNT(D39)=1,D39*H39,NA())</x:f>
        <x:v>10800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Specialist fabrication / commissioning service</x:v>
      </x:c>
      <x:c r="D40" s="20" t="n">
        <x:v>80</x:v>
      </x:c>
      <x:c r="E40" s="20" t="str">
        <x:v>service</x:v>
      </x:c>
      <x:c r="F40" s="21" t="n">
        <x:v>125</x:v>
      </x:c>
      <x:c r="G40" s="22" t="n">
        <x:f>IF(COUNT(F40)=1,F40*IF(E40="equipment",Inputs!D9,Inputs!D10),NA())</x:f>
        <x:v>125</x:v>
      </x:c>
      <x:c r="H40" s="22" t="n">
        <x:f>G40*IF(OR(E40="equipment",E40="goods"),(1+Inputs!D18)*(1+Inputs!D17),1)</x:f>
        <x:v>125</x:v>
      </x:c>
      <x:c r="I40" s="23" t="n">
        <x:f>IF(COUNT(D40)=1,D40*H40,NA())</x:f>
        <x:v>10000</x:v>
      </x:c>
      <x:c r="J40" s="23" t="n">
        <x:f>IF(AND(E40="equipment",H40&gt;=5000),I40,0)</x:f>
        <x:v>0</x:v>
      </x:c>
      <x:c r="K40" s="4" t="str">
        <x:v>P-COST</x:v>
      </x:c>
    </x:row>
    <x:row r="41" ht="30" customHeight="1">
      <x:c r="A41" s="1"/>
      <x:c r="B41" s="1"/>
      <x:c r="C41" s="4" t="str">
        <x:v>Replacement parts and calibration standards</x:v>
      </x:c>
      <x:c r="D41" s="20" t="n">
        <x:v>1</x:v>
      </x:c>
      <x:c r="E41" s="20" t="str">
        <x:v>goods</x:v>
      </x:c>
      <x:c r="F41" s="21" t="n">
        <x:v>5000</x:v>
      </x:c>
      <x:c r="G41" s="22" t="n">
        <x:f>IF(COUNT(F41)=1,F41*IF(E41="equipment",Inputs!D9,Inputs!D10),NA())</x:f>
        <x:v>5000</x:v>
      </x:c>
      <x:c r="H41" s="22" t="n">
        <x:f>G41*IF(OR(E41="equipment",E41="goods"),(1+Inputs!D18)*(1+Inputs!D17),1)</x:f>
        <x:v>5803.874999999999</x:v>
      </x:c>
      <x:c r="I41" s="23" t="n">
        <x:f>IF(COUNT(D41)=1,D41*H41,NA())</x:f>
        <x:v>5803.874999999999</x:v>
      </x:c>
      <x:c r="J41" s="23" t="n">
        <x:f>IF(AND(E41="equipment",H41&gt;=5000),I41,0)</x:f>
        <x:v>0</x:v>
      </x:c>
      <x:c r="K41" s="4" t="str">
        <x:v>P-COST</x:v>
      </x:c>
    </x:row>
    <x:row r="42">
      <x:c r="A42" s="1"/>
      <x:c r="B42" s="1"/>
      <x:c r="C42" s="2"/>
      <x:c r="D42" s="2"/>
      <x:c r="E42" s="2"/>
      <x:c r="F42" s="2"/>
      <x:c r="G42" s="2"/>
      <x:c r="H42" s="2"/>
      <x:c r="I42" s="2"/>
      <x:c r="J42" s="2"/>
      <x:c r="K42" s="2"/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32" customHeight="1">
      <x:c r="A44" s="1"/>
      <x:c r="B44" s="1"/>
      <x:c r="C44" s="9" t="str">
        <x:v>Funding build</x:v>
      </x:c>
      <x:c r="D44" s="9" t="str"/>
      <x:c r="E44" s="9" t="str"/>
      <x:c r="F44" s="9" t="str"/>
      <x:c r="G44" s="9" t="str"/>
      <x:c r="H44" s="9" t="str"/>
      <x:c r="I44" s="9" t="str">
        <x:v>Amount</x:v>
      </x:c>
      <x:c r="J44" s="9" t="str"/>
      <x:c r="K44" s="9" t="str"/>
    </x:row>
    <x:row r="45">
      <x:c r="A45" s="1"/>
      <x:c r="B45" s="1"/>
      <x:c r="C45" s="2" t="str">
        <x:v>Other direct costs</x:v>
      </x:c>
      <x:c r="D45" s="2"/>
      <x:c r="E45" s="2"/>
      <x:c r="F45" s="2"/>
      <x:c r="G45" s="2"/>
      <x:c r="H45" s="2"/>
      <x:c r="I45" s="17" t="n">
        <x:f>SUM(I28:I41)</x:f>
        <x:v>188762.9932</x:v>
      </x:c>
      <x:c r="J45" s="2"/>
      <x:c r="K45" s="2"/>
    </x:row>
    <x:row r="46">
      <x:c r="A46" s="1"/>
      <x:c r="B46" s="1"/>
      <x:c r="C46" s="2" t="str">
        <x:v>Total direct costs</x:v>
      </x:c>
      <x:c r="D46" s="2"/>
      <x:c r="E46" s="2"/>
      <x:c r="F46" s="2"/>
      <x:c r="G46" s="2"/>
      <x:c r="H46" s="2"/>
      <x:c r="I46" s="17" t="n">
        <x:f>I15+I24+I45</x:f>
        <x:v>1502497.6656</x:v>
      </x:c>
      <x:c r="J46" s="2"/>
      <x:c r="K46" s="2"/>
    </x:row>
    <x:row r="47">
      <x:c r="A47" s="1"/>
      <x:c r="B47" s="1"/>
      <x:c r="C47" s="2" t="str">
        <x:v>Equipment excluded from MTDC</x:v>
      </x:c>
      <x:c r="D47" s="2"/>
      <x:c r="E47" s="2"/>
      <x:c r="F47" s="2"/>
      <x:c r="G47" s="2"/>
      <x:c r="H47" s="2"/>
      <x:c r="I47" s="17" t="n">
        <x:f>SUM(J28:J41)</x:f>
        <x:v>85477.14945</x:v>
      </x:c>
      <x:c r="J47" s="2"/>
      <x:c r="K47" s="2"/>
    </x:row>
    <x:row r="48">
      <x:c r="A48" s="1"/>
      <x:c r="B48" s="1"/>
      <x:c r="C48" s="2" t="str">
        <x:v>Modified direct-cost base</x:v>
      </x:c>
      <x:c r="D48" s="2"/>
      <x:c r="E48" s="2"/>
      <x:c r="F48" s="2"/>
      <x:c r="G48" s="2"/>
      <x:c r="H48" s="2"/>
      <x:c r="I48" s="17" t="n">
        <x:f>I46-I47</x:f>
        <x:v>1417020.51615</x:v>
      </x:c>
      <x:c r="J48" s="2"/>
      <x:c r="K48" s="2"/>
    </x:row>
    <x:row r="49">
      <x:c r="A49" s="1"/>
      <x:c r="B49" s="1"/>
      <x:c r="C49" s="2" t="str">
        <x:v>Institutional cost / F&amp;A</x:v>
      </x:c>
      <x:c r="D49" s="2"/>
      <x:c r="E49" s="2"/>
      <x:c r="F49" s="2"/>
      <x:c r="G49" s="2"/>
      <x:c r="H49" s="2"/>
      <x:c r="I49" s="18" t="n">
        <x:f>I48*Inputs!D15</x:f>
        <x:v>786446.38646325</x:v>
      </x:c>
      <x:c r="J49" s="2"/>
      <x:c r="K49" s="2"/>
    </x:row>
    <x:row r="50">
      <x:c r="A50" s="1"/>
      <x:c r="B50" s="1"/>
      <x:c r="C50" s="2" t="str">
        <x:v>Direct plus institutional</x:v>
      </x:c>
      <x:c r="D50" s="2"/>
      <x:c r="E50" s="2"/>
      <x:c r="F50" s="2"/>
      <x:c r="G50" s="2"/>
      <x:c r="H50" s="2"/>
      <x:c r="I50" s="17" t="n">
        <x:f>I46+I49</x:f>
        <x:v>2288944.05206325</x:v>
      </x:c>
      <x:c r="J50" s="2"/>
      <x:c r="K50" s="2"/>
    </x:row>
    <x:row r="51">
      <x:c r="A51" s="1"/>
      <x:c r="B51" s="1"/>
      <x:c r="C51" s="2" t="str">
        <x:v>Risk reserve</x:v>
      </x:c>
      <x:c r="D51" s="2"/>
      <x:c r="E51" s="2"/>
      <x:c r="F51" s="2"/>
      <x:c r="G51" s="2"/>
      <x:c r="H51" s="2"/>
      <x:c r="I51" s="18" t="n">
        <x:f>I50*Inputs!D16</x:f>
        <x:v>343341.6078094875</x:v>
      </x:c>
      <x:c r="J51" s="2"/>
      <x:c r="K51" s="2"/>
    </x:row>
    <x:row r="52">
      <x:c r="A52" s="1"/>
      <x:c r="B52" s="1"/>
      <x:c r="C52" s="8" t="str">
        <x:v>PRELIMINARY FUNDING ENVELOPE</x:v>
      </x:c>
      <x:c r="D52" s="8"/>
      <x:c r="E52" s="8"/>
      <x:c r="F52" s="8"/>
      <x:c r="G52" s="8"/>
      <x:c r="H52" s="8"/>
      <x:c r="I52" s="25" t="n">
        <x:f>SUM(I50:I51)</x:f>
        <x:v>2632285.6598727377</x:v>
      </x:c>
      <x:c r="J52" s="8"/>
      <x:c r="K52" s="8"/>
    </x:row>
    <x:row r="53">
      <x:c r="A53" s="1"/>
      <x:c r="B53" s="1"/>
      <x:c r="C53" s="2"/>
      <x:c r="D53" s="2"/>
      <x:c r="E53" s="2"/>
      <x:c r="F53" s="2"/>
      <x:c r="G53" s="2"/>
      <x:c r="H53" s="2"/>
      <x:c r="I53" s="2"/>
      <x:c r="J53" s="2"/>
      <x:c r="K53" s="2"/>
    </x:row>
    <x:row r="54">
      <x:c r="A54" s="1"/>
      <x:c r="B54" s="1"/>
      <x:c r="C54" s="2" t="str">
        <x:v>Reconciliation difference (must be zero)</x:v>
      </x:c>
      <x:c r="D54" s="2"/>
      <x:c r="E54" s="2"/>
      <x:c r="F54" s="2"/>
      <x:c r="G54" s="2"/>
      <x:c r="H54" s="2"/>
      <x:c r="I54" s="17" t="n">
        <x:f>ROUND(I52-I15-I24-I45-I49-I51,2)</x:f>
        <x:v>0</x:v>
      </x:c>
      <x:c r="J54" s="2"/>
      <x:c r="K54" s="2"/>
    </x:row>
    <x:row r="55">
      <x:c r="A55" s="1"/>
      <x:c r="B55" s="1"/>
      <x:c r="C55" s="2"/>
      <x:c r="D55" s="2"/>
      <x:c r="E55" s="2"/>
      <x:c r="F55" s="2"/>
      <x:c r="G55" s="2"/>
      <x:c r="H55" s="2"/>
      <x:c r="I55" s="2"/>
      <x:c r="J55" s="2"/>
      <x:c r="K55" s="2"/>
    </x:row>
    <x:row r="56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54" customHeight="1">
      <x:c r="A57" s="1"/>
      <x:c r="B57" s="1"/>
      <x:c r="C57" s="4" t="str">
        <x:v>A real concentrate/product need, measurable native lithium and complete compatible-fraction balances are required. All quantities are unquoted planning ceilings. Confirmation precision and exact analytical methods require host/scientific review.</x:v>
      </x:c>
      <x:c r="D57" s="4"/>
      <x:c r="E57" s="4"/>
      <x:c r="F57" s="4"/>
      <x:c r="G57" s="4"/>
      <x:c r="H57" s="4"/>
      <x:c r="I57" s="4"/>
      <x:c r="J57" s="4"/>
      <x:c r="K57" s="4"/>
    </x:row>
    <x:row r="58" ht="38" customHeight="1">
      <x:c r="A58" s="1"/>
      <x:c r="B58" s="1"/>
      <x:c r="C58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58" s="4"/>
      <x:c r="E58" s="4"/>
      <x:c r="F58" s="4"/>
      <x:c r="G58" s="4"/>
      <x:c r="H58" s="4"/>
      <x:c r="I58" s="4"/>
      <x:c r="J58" s="4"/>
      <x:c r="K58" s="4"/>
    </x:row>
    <x:row r="59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38" customHeight="1">
      <x:c r="A60" s="1"/>
      <x:c r="B60" s="1"/>
      <x:c r="C60" s="4" t="str">
        <x:v>Row 28 • 2 each • Listed vessel price; two sequential stages, separate pumps and control below. [B06]</x:v>
      </x:c>
      <x:c r="D60" s="4"/>
      <x:c r="E60" s="4"/>
      <x:c r="F60" s="4"/>
      <x:c r="G60" s="4"/>
      <x:c r="H60" s="4"/>
      <x:c r="I60" s="4"/>
      <x:c r="J60" s="4"/>
      <x:c r="K60" s="4"/>
    </x:row>
    <x:row r="61" ht="38" customHeight="1">
      <x:c r="A61" s="1"/>
      <x:c r="B61" s="1"/>
      <x:c r="C61" s="4" t="str">
        <x:v>Row 29 • 2 each • Listed component-price anchor; qualify duty and fluid compatibility. [B08]</x:v>
      </x:c>
      <x:c r="D61" s="4"/>
      <x:c r="E61" s="4"/>
      <x:c r="F61" s="4"/>
      <x:c r="G61" s="4"/>
      <x:c r="H61" s="4"/>
      <x:c r="I61" s="4"/>
      <x:c r="J61" s="4"/>
      <x:c r="K61" s="4"/>
    </x:row>
    <x:row r="62" ht="56" customHeight="1">
      <x:c r="A62" s="1"/>
      <x:c r="B62" s="1"/>
      <x:c r="C62" s="4" t="str">
        <x:v>Row 30 • 1 assembly • One process assembly including a small selective-resin column, compatible valves and conditioning/dosing connections for the justified boron branch. Unquoted engineering allowance; useful life and asset classification require host confirmation. [P-COST]</x:v>
      </x:c>
      <x:c r="D62" s="4"/>
      <x:c r="E62" s="4"/>
      <x:c r="F62" s="4"/>
      <x:c r="G62" s="4"/>
      <x:c r="H62" s="4"/>
      <x:c r="I62" s="4"/>
      <x:c r="J62" s="4"/>
      <x:c r="K62" s="4"/>
    </x:row>
    <x:row r="63" ht="38" customHeight="1">
      <x:c r="A63" s="1"/>
      <x:c r="B63" s="1"/>
      <x:c r="C63" s="4" t="str">
        <x:v>Row 31 • 1 assembly • Project estimate; obtain an itemized quote. [P-COST]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32 • 1 assembly • Project estimate; obtain an itemized quote. [P-COST]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33 • 1 assembly • Project estimate; obtain an itemized quote. [P-COST]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34 • 1 lot • Project estimate; obtain an itemized quote. [P-COST]</x:v>
      </x:c>
      <x:c r="D66" s="4"/>
      <x:c r="E66" s="4"/>
      <x:c r="F66" s="4"/>
      <x:c r="G66" s="4"/>
      <x:c r="H66" s="4"/>
      <x:c r="I66" s="4"/>
      <x:c r="J66" s="4"/>
      <x:c r="K66" s="4"/>
    </x:row>
    <x:row r="67" ht="56" customHeight="1">
      <x:c r="A67" s="1"/>
      <x:c r="B67" s="1"/>
      <x:c r="C67" s="4" t="str">
        <x:v>Row 35 • 282 cycle/campaign • 42 development runs + 240 confirmation cycles on the selected conventional wash topology; $125/run or cycle for materials and supplies. T and B0 differ in frozen wash/purge decision policy. No analytical or staff charges included. [P-COST]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36 • 9 lot • Project estimate; obtain an itemized quote. [P-COST]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37 • 60 sample-equivalent • Solid characterization allowance for chemistry/wash selection and held-out product-quality checks. Exact XRD/microscopy allocation must follow the selected products and laboratory quote. [P-COST]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38 • 90 hour • 90 hours for brine/solid lithium and boron methods, reagent blanks, digestion, matrix spikes and closure uncertainty; beyond charged routine panel equivalents.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39 • 18 drum-equivalent • Allow for acidic/alkaline resin fractions, wash purges and remaining solids; 18 drum-equivalents is an unquoted planning capacity, not measured waste volume.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40 • 80 hour • Project estimate; obtain an itemized quote. [P-COST]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41 • 1 lot • Project estimate; obtain an itemized quote. [P-COST]</x:v>
      </x:c>
      <x:c r="D73" s="4"/>
      <x:c r="E73" s="4"/>
      <x:c r="F73" s="4"/>
      <x:c r="G73" s="4"/>
      <x:c r="H73" s="4"/>
      <x:c r="I73" s="4"/>
      <x:c r="J73" s="4"/>
      <x:c r="K73" s="4"/>
    </x:row>
    <x:row r="74">
      <x:c r="A74" s="1"/>
      <x:c r="B74" s="1"/>
      <x:c r="C74" s="2"/>
      <x:c r="D74" s="2"/>
      <x:c r="E74" s="2"/>
      <x:c r="F74" s="2"/>
      <x:c r="G74" s="2"/>
      <x:c r="H74" s="2"/>
      <x:c r="I74" s="2"/>
      <x:c r="J74" s="2"/>
      <x:c r="K74" s="2"/>
    </x:row>
    <x:row r="75">
      <x:c r="A75" s="1"/>
      <x:c r="B75" s="1"/>
      <x:c r="C75" s="2"/>
      <x:c r="D75" s="2"/>
      <x:c r="E75" s="2"/>
      <x:c r="F75" s="2"/>
      <x:c r="G75" s="2"/>
      <x:c r="H75" s="2"/>
      <x:c r="I75" s="2"/>
      <x:c r="J75" s="2"/>
      <x:c r="K75" s="2"/>
    </x:row>
    <x:row r="76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</x:row>
    <x:row r="77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On a common wash topology, a frozen inventory/impurity rule selects reuse, fresh makeup or purge while meeting the same product and residual limits.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A real concentrate/product need, measurable native lithium and complete compatible-fraction balances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Up to 42 development runs; 24 confirmation campaigns of ten cycles; 2,820 principal panels.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https://waterfromenergy.com/research-review.html#study-e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S02 • Reverse Osmosis with Intermediate Chemical Demineralization: Scale Inhibitor Selection, Degradation, and Seeded Precipitation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https://www.mdpi.com/1420-3049/29/10/2163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S10 • The CARMEn project: A sustainable and circular brine treatment chain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https://iris.polito.it/retrieve/0f53ab6c-c422-4e57-af1e-454524ac06af/1-s2.0-S001191642501118X-main.pdf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S11 • Pilot scale production of Mg(OH)2 compounds from a real industrial reverse osmosis desalination brine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https://iris.unipa.it/retrieve/6da0edd8-654e-4aeb-bfcc-3272e9e35332/1-s2.0-S0011916425005284-main.pdf</x:v>
      </x:c>
      <x:c r="D113" s="4"/>
      <x:c r="E113" s="4"/>
      <x:c r="F113" s="4"/>
      <x:c r="G113" s="4"/>
      <x:c r="H113" s="4"/>
      <x:c r="I113" s="4"/>
      <x:c r="J113" s="4"/>
      <x:c r="K113" s="4"/>
    </x:row>
    <x:row r="114" ht="46" customHeight="1">
      <x:c r="A114" s="1"/>
      <x:c r="B114" s="1"/>
      <x:c r="C114" s="4" t="str">
        <x:v>S14 • Li-air chemistry inspired electrodialysis for direct lithium carbonate production from seawater</x:v>
      </x:c>
      <x:c r="D114" s="4"/>
      <x:c r="E114" s="4"/>
      <x:c r="F114" s="4"/>
      <x:c r="G114" s="4"/>
      <x:c r="H114" s="4"/>
      <x:c r="I114" s="4"/>
      <x:c r="J114" s="4"/>
      <x:c r="K114" s="4"/>
    </x:row>
    <x:row r="115" ht="46" customHeight="1">
      <x:c r="A115" s="1"/>
      <x:c r="B115" s="1"/>
      <x:c r="C115" s="4" t="str">
        <x:v>https://www.nature.com/articles/s41467-026-75055-z</x:v>
      </x:c>
      <x:c r="D115" s="4"/>
      <x:c r="E115" s="4"/>
      <x:c r="F115" s="4"/>
      <x:c r="G115" s="4"/>
      <x:c r="H115" s="4"/>
      <x:c r="I115" s="4"/>
      <x:c r="J115" s="4"/>
      <x:c r="K115" s="4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Candidate operating-rule contribution; novelty unresolved; prior-art references: N18, N19, N20, N29, N30, S23, S10, S11, S14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https://waterfromenergy.com/research-program.html#study-e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Does an impurity- and inventory-aware wash/purge rule reduce total external freshwater use on real concentrate beyond optimized conventional recycled or countercurrent washing?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57:K57"/>
    <x:mergeCell ref="C58:K58"/>
    <x:mergeCell ref="C60:K60"/>
    <x:mergeCell ref="C61:K61"/>
    <x:mergeCell ref="C62:K62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14:K114"/>
    <x:mergeCell ref="C115:K115"/>
    <x:mergeCell ref="C121:K121"/>
    <x:mergeCell ref="C122:K122"/>
    <x:mergeCell ref="C123:K123"/>
    <x:mergeCell ref="C124:K124"/>
  </x:mergeCells>
  <x:conditionalFormatting sqref="I54:I54">
    <x:cfRule type="cellIs" dxfId="4" priority="1" operator="notEqual">
      <x:formula>0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F • Protect delivered water during faults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12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12 commissioning runs and 108 confirmation runs; 864 principal plus 96 commissioning panels.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12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32476.800000000003</x:v>
      </x:c>
      <x:c r="I8" s="17" t="n">
        <x:f>H8*(1+J8)</x:f>
        <x:v>42999.283200000005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12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131886</x:v>
      </x:c>
      <x:c r="I9" s="17" t="n">
        <x:f>H9*(1+J9)</x:f>
        <x:v>174617.064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0.75</x:v>
      </x:c>
      <x:c r="E10" s="2" t="n">
        <x:f>IF(AND(ISNUMBER($D$4),$D$4&gt;0),$D$4,NA())</x:f>
        <x:v>12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79821</x:v>
      </x:c>
      <x:c r="I10" s="17" t="n">
        <x:f>H10*(1+J10)</x:f>
        <x:v>105683.004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12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57954</x:v>
      </x:c>
      <x:c r="I11" s="17" t="n">
        <x:f>H11*(1+J11)</x:f>
        <x:v>79686.75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12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15743.699999999999</x:v>
      </x:c>
      <x:c r="I12" s="17" t="n">
        <x:f>H12*(1+J12)</x:f>
        <x:v>20844.6588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12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135200</x:v>
      </x:c>
      <x:c r="I13" s="17" t="n">
        <x:f>H13*(1+J13)</x:f>
        <x:v>179004.80000000002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602835.56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864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96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149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1139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256275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Custom 0.02 m² MD cell</x:v>
      </x:c>
      <x:c r="D28" s="20" t="n">
        <x:v>2</x:v>
      </x:c>
      <x:c r="E28" s="20" t="str">
        <x:v>equipment</x:v>
      </x:c>
      <x:c r="F28" s="21" t="n">
        <x:v>8000</x:v>
      </x:c>
      <x:c r="G28" s="22" t="n">
        <x:f>IF(COUNT(F28)=1,F28*IF(E28="equipment",Inputs!D9,Inputs!D10),NA())</x:f>
        <x:v>8000</x:v>
      </x:c>
      <x:c r="H28" s="22" t="n">
        <x:f>G28*IF(OR(E28="equipment",E28="goods"),(1+Inputs!D18)*(1+Inputs!D17),1)</x:f>
        <x:v>9286.199999999999</x:v>
      </x:c>
      <x:c r="I28" s="23" t="n">
        <x:f>IF(COUNT(D28)=1,D28*H28,NA())</x:f>
        <x:v>18572.399999999998</x:v>
      </x:c>
      <x:c r="J28" s="23" t="n">
        <x:f>IF(AND(E28="equipment",H28&gt;=5000),I28,0)</x:f>
        <x:v>18572.399999999998</x:v>
      </x:c>
      <x:c r="K28" s="4" t="str">
        <x:v>B07; P-COST</x:v>
      </x:c>
    </x:row>
    <x:row r="29" ht="30" customHeight="1">
      <x:c r="A29" s="1"/>
      <x:c r="B29" s="1"/>
      <x:c r="C29" s="4" t="str">
        <x:v>Temperature circulator</x:v>
      </x:c>
      <x:c r="D29" s="20" t="n">
        <x:v>2</x:v>
      </x:c>
      <x:c r="E29" s="20" t="str">
        <x:v>equipment</x:v>
      </x:c>
      <x:c r="F29" s="21" t="n">
        <x:v>7199</x:v>
      </x:c>
      <x:c r="G29" s="22" t="n">
        <x:f>IF(COUNT(F29)=1,F29*IF(E29="equipment",Inputs!D9,Inputs!D10),NA())</x:f>
        <x:v>7199</x:v>
      </x:c>
      <x:c r="H29" s="22" t="n">
        <x:f>G29*IF(OR(E29="equipment",E29="goods"),(1+Inputs!D18)*(1+Inputs!D17),1)</x:f>
        <x:v>8356.419225</x:v>
      </x:c>
      <x:c r="I29" s="23" t="n">
        <x:f>IF(COUNT(D29)=1,D29*H29,NA())</x:f>
        <x:v>16712.83845</x:v>
      </x:c>
      <x:c r="J29" s="23" t="n">
        <x:f>IF(AND(E29="equipment",H29&gt;=5000),I29,0)</x:f>
        <x:v>16712.83845</x:v>
      </x:c>
      <x:c r="K29" s="4" t="str">
        <x:v>B08</x:v>
      </x:c>
    </x:row>
    <x:row r="30" ht="30" customHeight="1">
      <x:c r="A30" s="1"/>
      <x:c r="B30" s="1"/>
      <x:c r="C30" s="4" t="str">
        <x:v>Feed / permeate pump assembly</x:v>
      </x:c>
      <x:c r="D30" s="20" t="n">
        <x:v>1</x:v>
      </x:c>
      <x:c r="E30" s="20" t="str">
        <x:v>equipment</x:v>
      </x:c>
      <x:c r="F30" s="21" t="n">
        <x:v>7000</x:v>
      </x:c>
      <x:c r="G30" s="22" t="n">
        <x:f>IF(COUNT(F30)=1,F30*IF(E30="equipment",Inputs!D9,Inputs!D10),NA())</x:f>
        <x:v>7000</x:v>
      </x:c>
      <x:c r="H30" s="22" t="n">
        <x:f>G30*IF(OR(E30="equipment",E30="goods"),(1+Inputs!D18)*(1+Inputs!D17),1)</x:f>
        <x:v>8125.424999999999</x:v>
      </x:c>
      <x:c r="I30" s="23" t="n">
        <x:f>IF(COUNT(D30)=1,D30*H30,NA())</x:f>
        <x:v>8125.424999999999</x:v>
      </x:c>
      <x:c r="J30" s="23" t="n">
        <x:f>IF(AND(E30="equipment",H30&gt;=5000),I30,0)</x:f>
        <x:v>8125.424999999999</x:v>
      </x:c>
      <x:c r="K30" s="4" t="str">
        <x:v>P-COST</x:v>
      </x:c>
    </x:row>
    <x:row r="31" ht="30" customHeight="1">
      <x:c r="A31" s="1"/>
      <x:c r="B31" s="1"/>
      <x:c r="C31" s="4" t="str">
        <x:v>Conductive-spacer and impedance instrumentation</x:v>
      </x:c>
      <x:c r="D31" s="20" t="n">
        <x:v>1</x:v>
      </x:c>
      <x:c r="E31" s="20" t="str">
        <x:v>equipment</x:v>
      </x:c>
      <x:c r="F31" s="21" t="n">
        <x:v>15000</x:v>
      </x:c>
      <x:c r="G31" s="22" t="n">
        <x:f>IF(COUNT(F31)=1,F31*IF(E31="equipment",Inputs!D9,Inputs!D10),NA())</x:f>
        <x:v>15000</x:v>
      </x:c>
      <x:c r="H31" s="22" t="n">
        <x:f>G31*IF(OR(E31="equipment",E31="goods"),(1+Inputs!D18)*(1+Inputs!D17),1)</x:f>
        <x:v>17411.625</x:v>
      </x:c>
      <x:c r="I31" s="23" t="n">
        <x:f>IF(COUNT(D31)=1,D31*H31,NA())</x:f>
        <x:v>17411.625</x:v>
      </x:c>
      <x:c r="J31" s="23" t="n">
        <x:f>IF(AND(E31="equipment",H31&gt;=5000),I31,0)</x:f>
        <x:v>17411.625</x:v>
      </x:c>
      <x:c r="K31" s="4" t="str">
        <x:v>P-COST</x:v>
      </x:c>
    </x:row>
    <x:row r="32" ht="30" customHeight="1">
      <x:c r="A32" s="1"/>
      <x:c r="B32" s="1"/>
      <x:c r="C32" s="4" t="str">
        <x:v>Independent quality reference and process DAQ</x:v>
      </x:c>
      <x:c r="D32" s="20" t="n">
        <x:v>1</x:v>
      </x:c>
      <x:c r="E32" s="20" t="str">
        <x:v>equipment</x:v>
      </x:c>
      <x:c r="F32" s="21" t="n">
        <x:v>22000</x:v>
      </x:c>
      <x:c r="G32" s="22" t="n">
        <x:f>IF(COUNT(F32)=1,F32*IF(E32="equipment",Inputs!D9,Inputs!D10),NA())</x:f>
        <x:v>22000</x:v>
      </x:c>
      <x:c r="H32" s="22" t="n">
        <x:f>G32*IF(OR(E32="equipment",E32="goods"),(1+Inputs!D18)*(1+Inputs!D17),1)</x:f>
        <x:v>25537.05</x:v>
      </x:c>
      <x:c r="I32" s="23" t="n">
        <x:f>IF(COUNT(D32)=1,D32*H32,NA())</x:f>
        <x:v>25537.05</x:v>
      </x:c>
      <x:c r="J32" s="23" t="n">
        <x:f>IF(AND(E32="equipment",H32&gt;=5000),I32,0)</x:f>
        <x:v>25537.05</x:v>
      </x:c>
      <x:c r="K32" s="4" t="str">
        <x:v>P-COST</x:v>
      </x:c>
    </x:row>
    <x:row r="33" ht="30" customHeight="1">
      <x:c r="A33" s="1"/>
      <x:c r="B33" s="1"/>
      <x:c r="C33" s="4" t="str">
        <x:v>Automatic valves, hold tanks and sampling assembly</x:v>
      </x:c>
      <x:c r="D33" s="20" t="n">
        <x:v>1</x:v>
      </x:c>
      <x:c r="E33" s="20" t="str">
        <x:v>equipment</x:v>
      </x:c>
      <x:c r="F33" s="21" t="n">
        <x:v>12000</x:v>
      </x:c>
      <x:c r="G33" s="22" t="n">
        <x:f>IF(COUNT(F33)=1,F33*IF(E33="equipment",Inputs!D9,Inputs!D10),NA())</x:f>
        <x:v>12000</x:v>
      </x:c>
      <x:c r="H33" s="22" t="n">
        <x:f>G33*IF(OR(E33="equipment",E33="goods"),(1+Inputs!D18)*(1+Inputs!D17),1)</x:f>
        <x:v>13929.3</x:v>
      </x:c>
      <x:c r="I33" s="23" t="n">
        <x:f>IF(COUNT(D33)=1,D33*H33,NA())</x:f>
        <x:v>13929.3</x:v>
      </x:c>
      <x:c r="J33" s="23" t="n">
        <x:f>IF(AND(E33="equipment",H33&gt;=5000),I33,0)</x:f>
        <x:v>13929.3</x:v>
      </x:c>
      <x:c r="K33" s="4" t="str">
        <x:v>P-COST</x:v>
      </x:c>
    </x:row>
    <x:row r="34" ht="30" customHeight="1">
      <x:c r="A34" s="1"/>
      <x:c r="B34" s="1"/>
      <x:c r="C34" s="4" t="str">
        <x:v>Containment and wet-bench supplies</x:v>
      </x:c>
      <x:c r="D34" s="20" t="n">
        <x:v>1</x:v>
      </x:c>
      <x:c r="E34" s="20" t="str">
        <x:v>goods</x:v>
      </x:c>
      <x:c r="F34" s="21" t="n">
        <x:v>5000</x:v>
      </x:c>
      <x:c r="G34" s="22" t="n">
        <x:f>IF(COUNT(F34)=1,F34*IF(E34="equipment",Inputs!D9,Inputs!D10),NA())</x:f>
        <x:v>5000</x:v>
      </x:c>
      <x:c r="H34" s="22" t="n">
        <x:f>G34*IF(OR(E34="equipment",E34="goods"),(1+Inputs!D18)*(1+Inputs!D17),1)</x:f>
        <x:v>5803.874999999999</x:v>
      </x:c>
      <x:c r="I34" s="23" t="n">
        <x:f>IF(COUNT(D34)=1,D34*H34,NA())</x:f>
        <x:v>5803.874999999999</x:v>
      </x:c>
      <x:c r="J34" s="23" t="n">
        <x:f>IF(AND(E34="equipment",H34&gt;=5000),I34,0)</x:f>
        <x:v>0</x:v>
      </x:c>
      <x:c r="K34" s="4" t="str">
        <x:v>P-COST</x:v>
      </x:c>
    </x:row>
    <x:row r="35" ht="30" customHeight="1">
      <x:c r="A35" s="1"/>
      <x:c r="B35" s="1"/>
      <x:c r="C35" s="4" t="str">
        <x:v>Membrane coupons / spacer consumables</x:v>
      </x:c>
      <x:c r="D35" s="20" t="n">
        <x:v>140</x:v>
      </x:c>
      <x:c r="E35" s="20" t="str">
        <x:v>goods</x:v>
      </x:c>
      <x:c r="F35" s="21" t="n">
        <x:v>100</x:v>
      </x:c>
      <x:c r="G35" s="22" t="n">
        <x:f>IF(COUNT(F35)=1,F35*IF(E35="equipment",Inputs!D9,Inputs!D10),NA())</x:f>
        <x:v>100</x:v>
      </x:c>
      <x:c r="H35" s="22" t="n">
        <x:f>G35*IF(OR(E35="equipment",E35="goods"),(1+Inputs!D18)*(1+Inputs!D17),1)</x:f>
        <x:v>116.07749999999999</x:v>
      </x:c>
      <x:c r="I35" s="23" t="n">
        <x:f>IF(COUNT(D35)=1,D35*H35,NA())</x:f>
        <x:v>16250.849999999999</x:v>
      </x:c>
      <x:c r="J35" s="23" t="n">
        <x:f>IF(AND(E35="equipment",H35&gt;=5000),I35,0)</x:f>
        <x:v>0</x:v>
      </x:c>
      <x:c r="K35" s="4" t="str">
        <x:v>P-COST</x:v>
      </x:c>
    </x:row>
    <x:row r="36" ht="30" customHeight="1">
      <x:c r="A36" s="1"/>
      <x:c r="B36" s="1"/>
      <x:c r="C36" s="4" t="str">
        <x:v>Challenge chemicals and sample consumables</x:v>
      </x:c>
      <x:c r="D36" s="20" t="n">
        <x:v>120</x:v>
      </x:c>
      <x:c r="E36" s="20" t="str">
        <x:v>goods</x:v>
      </x:c>
      <x:c r="F36" s="21" t="n">
        <x:v>120</x:v>
      </x:c>
      <x:c r="G36" s="22" t="n">
        <x:f>IF(COUNT(F36)=1,F36*IF(E36="equipment",Inputs!D9,Inputs!D10),NA())</x:f>
        <x:v>120</x:v>
      </x:c>
      <x:c r="H36" s="22" t="n">
        <x:f>G36*IF(OR(E36="equipment",E36="goods"),(1+Inputs!D18)*(1+Inputs!D17),1)</x:f>
        <x:v>139.29299999999998</x:v>
      </x:c>
      <x:c r="I36" s="23" t="n">
        <x:f>IF(COUNT(D36)=1,D36*H36,NA())</x:f>
        <x:v>16715.159999999996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Matrix qualification and organic carryover assays</x:v>
      </x:c>
      <x:c r="D37" s="20" t="n">
        <x:v>1</x:v>
      </x:c>
      <x:c r="E37" s="20" t="str">
        <x:v>service</x:v>
      </x:c>
      <x:c r="F37" s="21" t="n">
        <x:v>25500</x:v>
      </x:c>
      <x:c r="G37" s="22" t="n">
        <x:f>IF(COUNT(F37)=1,F37*IF(E37="equipment",Inputs!D9,Inputs!D10),NA())</x:f>
        <x:v>25500</x:v>
      </x:c>
      <x:c r="H37" s="22" t="n">
        <x:f>G37*IF(OR(E37="equipment",E37="goods"),(1+Inputs!D18)*(1+Inputs!D17),1)</x:f>
        <x:v>25500</x:v>
      </x:c>
      <x:c r="I37" s="23" t="n">
        <x:f>IF(COUNT(D37)=1,D37*H37,NA())</x:f>
        <x:v>25500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Real-feed collection / transport</x:v>
      </x:c>
      <x:c r="D38" s="20" t="n">
        <x:v>6</x:v>
      </x:c>
      <x:c r="E38" s="20" t="str">
        <x:v>service</x:v>
      </x:c>
      <x:c r="F38" s="21" t="n">
        <x:v>500</x:v>
      </x:c>
      <x:c r="G38" s="22" t="n">
        <x:f>IF(COUNT(F38)=1,F38*IF(E38="equipment",Inputs!D9,Inputs!D10),NA())</x:f>
        <x:v>500</x:v>
      </x:c>
      <x:c r="H38" s="22" t="n">
        <x:f>G38*IF(OR(E38="equipment",E38="goods"),(1+Inputs!D18)*(1+Inputs!D17),1)</x:f>
        <x:v>500</x:v>
      </x:c>
      <x:c r="I38" s="23" t="n">
        <x:f>IF(COUNT(D38)=1,D38*H38,NA())</x:f>
        <x:v>3000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Residual packaging and disposal</x:v>
      </x:c>
      <x:c r="D39" s="20" t="n">
        <x:v>14</x:v>
      </x:c>
      <x:c r="E39" s="20" t="str">
        <x:v>service</x:v>
      </x:c>
      <x:c r="F39" s="21" t="n">
        <x:v>600</x:v>
      </x:c>
      <x:c r="G39" s="22" t="n">
        <x:f>IF(COUNT(F39)=1,F39*IF(E39="equipment",Inputs!D9,Inputs!D10),NA())</x:f>
        <x:v>600</x:v>
      </x:c>
      <x:c r="H39" s="22" t="n">
        <x:f>G39*IF(OR(E39="equipment",E39="goods"),(1+Inputs!D18)*(1+Inputs!D17),1)</x:f>
        <x:v>600</x:v>
      </x:c>
      <x:c r="I39" s="23" t="n">
        <x:f>IF(COUNT(D39)=1,D39*H39,NA())</x:f>
        <x:v>8400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External controller / fault-system audit</x:v>
      </x:c>
      <x:c r="D40" s="20" t="n">
        <x:v>80</x:v>
      </x:c>
      <x:c r="E40" s="20" t="str">
        <x:v>service</x:v>
      </x:c>
      <x:c r="F40" s="21" t="n">
        <x:v>150</x:v>
      </x:c>
      <x:c r="G40" s="22" t="n">
        <x:f>IF(COUNT(F40)=1,F40*IF(E40="equipment",Inputs!D9,Inputs!D10),NA())</x:f>
        <x:v>150</x:v>
      </x:c>
      <x:c r="H40" s="22" t="n">
        <x:f>G40*IF(OR(E40="equipment",E40="goods"),(1+Inputs!D18)*(1+Inputs!D17),1)</x:f>
        <x:v>150</x:v>
      </x:c>
      <x:c r="I40" s="23" t="n">
        <x:f>IF(COUNT(D40)=1,D40*H40,NA())</x:f>
        <x:v>12000</x:v>
      </x:c>
      <x:c r="J40" s="23" t="n">
        <x:f>IF(AND(E40="equipment",H40&gt;=5000),I40,0)</x:f>
        <x:v>0</x:v>
      </x:c>
      <x:c r="K40" s="4" t="str">
        <x:v>P-COST</x:v>
      </x:c>
    </x:row>
    <x:row r="41" ht="30" customHeight="1">
      <x:c r="A41" s="1"/>
      <x:c r="B41" s="1"/>
      <x:c r="C41" s="4" t="str">
        <x:v>Specialist fabrication / commissioning</x:v>
      </x:c>
      <x:c r="D41" s="20" t="n">
        <x:v>80</x:v>
      </x:c>
      <x:c r="E41" s="20" t="str">
        <x:v>service</x:v>
      </x:c>
      <x:c r="F41" s="21" t="n">
        <x:v>125</x:v>
      </x:c>
      <x:c r="G41" s="22" t="n">
        <x:f>IF(COUNT(F41)=1,F41*IF(E41="equipment",Inputs!D9,Inputs!D10),NA())</x:f>
        <x:v>125</x:v>
      </x:c>
      <x:c r="H41" s="22" t="n">
        <x:f>G41*IF(OR(E41="equipment",E41="goods"),(1+Inputs!D18)*(1+Inputs!D17),1)</x:f>
        <x:v>125</x:v>
      </x:c>
      <x:c r="I41" s="23" t="n">
        <x:f>IF(COUNT(D41)=1,D41*H41,NA())</x:f>
        <x:v>10000</x:v>
      </x:c>
      <x:c r="J41" s="23" t="n">
        <x:f>IF(AND(E41="equipment",H41&gt;=5000),I41,0)</x:f>
        <x:v>0</x:v>
      </x:c>
      <x:c r="K41" s="4" t="str">
        <x:v>P-COST</x:v>
      </x:c>
    </x:row>
    <x:row r="42" ht="30" customHeight="1">
      <x:c r="A42" s="1"/>
      <x:c r="B42" s="1"/>
      <x:c r="C42" s="4" t="str">
        <x:v>Replacement sensors and standards</x:v>
      </x:c>
      <x:c r="D42" s="20" t="n">
        <x:v>1</x:v>
      </x:c>
      <x:c r="E42" s="20" t="str">
        <x:v>goods</x:v>
      </x:c>
      <x:c r="F42" s="21" t="n">
        <x:v>6000</x:v>
      </x:c>
      <x:c r="G42" s="22" t="n">
        <x:f>IF(COUNT(F42)=1,F42*IF(E42="equipment",Inputs!D9,Inputs!D10),NA())</x:f>
        <x:v>6000</x:v>
      </x:c>
      <x:c r="H42" s="22" t="n">
        <x:f>G42*IF(OR(E42="equipment",E42="goods"),(1+Inputs!D18)*(1+Inputs!D17),1)</x:f>
        <x:v>6964.65</x:v>
      </x:c>
      <x:c r="I42" s="23" t="n">
        <x:f>IF(COUNT(D42)=1,D42*H42,NA())</x:f>
        <x:v>6964.65</x:v>
      </x:c>
      <x:c r="J42" s="23" t="n">
        <x:f>IF(AND(E42="equipment",H42&gt;=5000),I42,0)</x:f>
        <x:v>0</x:v>
      </x:c>
      <x:c r="K42" s="4" t="str">
        <x:v>P-COST</x:v>
      </x:c>
    </x:row>
    <x:row r="43">
      <x:c r="A43" s="1"/>
      <x:c r="B43" s="1"/>
      <x:c r="C43" s="2"/>
      <x:c r="D43" s="2"/>
      <x:c r="E43" s="2"/>
      <x:c r="F43" s="2"/>
      <x:c r="G43" s="2"/>
      <x:c r="H43" s="2"/>
      <x:c r="I43" s="2"/>
      <x:c r="J43" s="2"/>
      <x:c r="K43" s="2"/>
    </x:row>
    <x:row r="44">
      <x:c r="A44" s="1"/>
      <x:c r="B44" s="1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32" customHeight="1">
      <x:c r="A45" s="1"/>
      <x:c r="B45" s="1"/>
      <x:c r="C45" s="9" t="str">
        <x:v>Funding build</x:v>
      </x:c>
      <x:c r="D45" s="9" t="str"/>
      <x:c r="E45" s="9" t="str"/>
      <x:c r="F45" s="9" t="str"/>
      <x:c r="G45" s="9" t="str"/>
      <x:c r="H45" s="9" t="str"/>
      <x:c r="I45" s="9" t="str">
        <x:v>Amount</x:v>
      </x:c>
      <x:c r="J45" s="9" t="str"/>
      <x:c r="K45" s="9" t="str"/>
    </x:row>
    <x:row r="46">
      <x:c r="A46" s="1"/>
      <x:c r="B46" s="1"/>
      <x:c r="C46" s="2" t="str">
        <x:v>Other direct costs</x:v>
      </x:c>
      <x:c r="D46" s="2"/>
      <x:c r="E46" s="2"/>
      <x:c r="F46" s="2"/>
      <x:c r="G46" s="2"/>
      <x:c r="H46" s="2"/>
      <x:c r="I46" s="17" t="n">
        <x:f>SUM(I28:I42)</x:f>
        <x:v>204923.17345</x:v>
      </x:c>
      <x:c r="J46" s="2"/>
      <x:c r="K46" s="2"/>
    </x:row>
    <x:row r="47">
      <x:c r="A47" s="1"/>
      <x:c r="B47" s="1"/>
      <x:c r="C47" s="2" t="str">
        <x:v>Total direct costs</x:v>
      </x:c>
      <x:c r="D47" s="2"/>
      <x:c r="E47" s="2"/>
      <x:c r="F47" s="2"/>
      <x:c r="G47" s="2"/>
      <x:c r="H47" s="2"/>
      <x:c r="I47" s="17" t="n">
        <x:f>I15+I24+I46</x:f>
        <x:v>1064033.7334500002</x:v>
      </x:c>
      <x:c r="J47" s="2"/>
      <x:c r="K47" s="2"/>
    </x:row>
    <x:row r="48">
      <x:c r="A48" s="1"/>
      <x:c r="B48" s="1"/>
      <x:c r="C48" s="2" t="str">
        <x:v>Equipment excluded from MTDC</x:v>
      </x:c>
      <x:c r="D48" s="2"/>
      <x:c r="E48" s="2"/>
      <x:c r="F48" s="2"/>
      <x:c r="G48" s="2"/>
      <x:c r="H48" s="2"/>
      <x:c r="I48" s="17" t="n">
        <x:f>SUM(J28:J42)</x:f>
        <x:v>100288.63845</x:v>
      </x:c>
      <x:c r="J48" s="2"/>
      <x:c r="K48" s="2"/>
    </x:row>
    <x:row r="49">
      <x:c r="A49" s="1"/>
      <x:c r="B49" s="1"/>
      <x:c r="C49" s="2" t="str">
        <x:v>Modified direct-cost base</x:v>
      </x:c>
      <x:c r="D49" s="2"/>
      <x:c r="E49" s="2"/>
      <x:c r="F49" s="2"/>
      <x:c r="G49" s="2"/>
      <x:c r="H49" s="2"/>
      <x:c r="I49" s="17" t="n">
        <x:f>I47-I48</x:f>
        <x:v>963745.0950000002</x:v>
      </x:c>
      <x:c r="J49" s="2"/>
      <x:c r="K49" s="2"/>
    </x:row>
    <x:row r="50">
      <x:c r="A50" s="1"/>
      <x:c r="B50" s="1"/>
      <x:c r="C50" s="2" t="str">
        <x:v>Institutional cost / F&amp;A</x:v>
      </x:c>
      <x:c r="D50" s="2"/>
      <x:c r="E50" s="2"/>
      <x:c r="F50" s="2"/>
      <x:c r="G50" s="2"/>
      <x:c r="H50" s="2"/>
      <x:c r="I50" s="18" t="n">
        <x:f>I49*Inputs!D15</x:f>
        <x:v>534878.5277250002</x:v>
      </x:c>
      <x:c r="J50" s="2"/>
      <x:c r="K50" s="2"/>
    </x:row>
    <x:row r="51">
      <x:c r="A51" s="1"/>
      <x:c r="B51" s="1"/>
      <x:c r="C51" s="2" t="str">
        <x:v>Direct plus institutional</x:v>
      </x:c>
      <x:c r="D51" s="2"/>
      <x:c r="E51" s="2"/>
      <x:c r="F51" s="2"/>
      <x:c r="G51" s="2"/>
      <x:c r="H51" s="2"/>
      <x:c r="I51" s="17" t="n">
        <x:f>I47+I50</x:f>
        <x:v>1598912.2611750003</x:v>
      </x:c>
      <x:c r="J51" s="2"/>
      <x:c r="K51" s="2"/>
    </x:row>
    <x:row r="52">
      <x:c r="A52" s="1"/>
      <x:c r="B52" s="1"/>
      <x:c r="C52" s="2" t="str">
        <x:v>Risk reserve</x:v>
      </x:c>
      <x:c r="D52" s="2"/>
      <x:c r="E52" s="2"/>
      <x:c r="F52" s="2"/>
      <x:c r="G52" s="2"/>
      <x:c r="H52" s="2"/>
      <x:c r="I52" s="18" t="n">
        <x:f>I51*Inputs!D16</x:f>
        <x:v>239836.83917625004</x:v>
      </x:c>
      <x:c r="J52" s="2"/>
      <x:c r="K52" s="2"/>
    </x:row>
    <x:row r="53">
      <x:c r="A53" s="1"/>
      <x:c r="B53" s="1"/>
      <x:c r="C53" s="8" t="str">
        <x:v>PRELIMINARY FUNDING ENVELOPE</x:v>
      </x:c>
      <x:c r="D53" s="8"/>
      <x:c r="E53" s="8"/>
      <x:c r="F53" s="8"/>
      <x:c r="G53" s="8"/>
      <x:c r="H53" s="8"/>
      <x:c r="I53" s="25" t="n">
        <x:f>SUM(I51:I52)</x:f>
        <x:v>1838749.1003512503</x:v>
      </x:c>
      <x:c r="J53" s="8"/>
      <x:c r="K53" s="8"/>
    </x:row>
    <x:row r="54">
      <x:c r="A54" s="1"/>
      <x:c r="B54" s="1"/>
      <x:c r="C54" s="2"/>
      <x:c r="D54" s="2"/>
      <x:c r="E54" s="2"/>
      <x:c r="F54" s="2"/>
      <x:c r="G54" s="2"/>
      <x:c r="H54" s="2"/>
      <x:c r="I54" s="2"/>
      <x:c r="J54" s="2"/>
      <x:c r="K54" s="2"/>
    </x:row>
    <x:row r="55">
      <x:c r="A55" s="1"/>
      <x:c r="B55" s="1"/>
      <x:c r="C55" s="2" t="str">
        <x:v>Reconciliation difference (must be zero)</x:v>
      </x:c>
      <x:c r="D55" s="2"/>
      <x:c r="E55" s="2"/>
      <x:c r="F55" s="2"/>
      <x:c r="G55" s="2"/>
      <x:c r="H55" s="2"/>
      <x:c r="I55" s="17" t="n">
        <x:f>ROUND(I53-I15-I24-I46-I50-I52,2)</x:f>
        <x:v>0</x:v>
      </x:c>
      <x:c r="J55" s="2"/>
      <x:c r="K55" s="2"/>
    </x:row>
    <x:row r="56">
      <x:c r="A56" s="1"/>
      <x:c r="B56" s="1"/>
      <x:c r="C56" s="2"/>
      <x:c r="D56" s="2"/>
      <x:c r="E56" s="2"/>
      <x:c r="F56" s="2"/>
      <x:c r="G56" s="2"/>
      <x:c r="H56" s="2"/>
      <x:c r="I56" s="2"/>
      <x:c r="J56" s="2"/>
      <x:c r="K56" s="2"/>
    </x:row>
    <x:row r="57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54" customHeight="1">
      <x:c r="A58" s="1"/>
      <x:c r="B58" s="1"/>
      <x:c r="C58" s="4" t="str">
        <x:v>Independent delivered-water truth, calibrated latency/mixing, an equipped MD host and a nontrivial baseline error or good-water-loss opportunity are required. All quantities are unquoted planning ceilings. Confirmation precision and exact analytical methods require host/scientific review.</x:v>
      </x:c>
      <x:c r="D58" s="4"/>
      <x:c r="E58" s="4"/>
      <x:c r="F58" s="4"/>
      <x:c r="G58" s="4"/>
      <x:c r="H58" s="4"/>
      <x:c r="I58" s="4"/>
      <x:c r="J58" s="4"/>
      <x:c r="K58" s="4"/>
    </x:row>
    <x:row r="59" ht="38" customHeight="1">
      <x:c r="A59" s="1"/>
      <x:c r="B59" s="1"/>
      <x:c r="C59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59" s="4"/>
      <x:c r="E59" s="4"/>
      <x:c r="F59" s="4"/>
      <x:c r="G59" s="4"/>
      <x:c r="H59" s="4"/>
      <x:c r="I59" s="4"/>
      <x:c r="J59" s="4"/>
      <x:c r="K59" s="4"/>
    </x:row>
    <x:row r="60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38" customHeight="1">
      <x:c r="A61" s="1"/>
      <x:c r="B61" s="1"/>
      <x:c r="C61" s="4" t="str">
        <x:v>Row 28 • 2 each • Custom engineering allowance, not the $1,325.72 small CF042 price; includes one matched/spare cell. [B07; P-COST]</x:v>
      </x:c>
      <x:c r="D61" s="4"/>
      <x:c r="E61" s="4"/>
      <x:c r="F61" s="4"/>
      <x:c r="G61" s="4"/>
      <x:c r="H61" s="4"/>
      <x:c r="I61" s="4"/>
      <x:c r="J61" s="4"/>
      <x:c r="K61" s="4"/>
    </x:row>
    <x:row r="62" ht="38" customHeight="1">
      <x:c r="A62" s="1"/>
      <x:c r="B62" s="1"/>
      <x:c r="C62" s="4" t="str">
        <x:v>Row 29 • 2 each • Price anchor; vendor must confirm continuous-duty suitability. [B08]</x:v>
      </x:c>
      <x:c r="D62" s="4"/>
      <x:c r="E62" s="4"/>
      <x:c r="F62" s="4"/>
      <x:c r="G62" s="4"/>
      <x:c r="H62" s="4"/>
      <x:c r="I62" s="4"/>
      <x:c r="J62" s="4"/>
      <x:c r="K62" s="4"/>
    </x:row>
    <x:row r="63" ht="38" customHeight="1">
      <x:c r="A63" s="1"/>
      <x:c r="B63" s="1"/>
      <x:c r="C63" s="4" t="str">
        <x:v>Row 30 • 1 assembly • Project estimate; obtain an itemized quote. [P-COST]</x:v>
      </x:c>
      <x:c r="D63" s="4"/>
      <x:c r="E63" s="4"/>
      <x:c r="F63" s="4"/>
      <x:c r="G63" s="4"/>
      <x:c r="H63" s="4"/>
      <x:c r="I63" s="4"/>
      <x:c r="J63" s="4"/>
      <x:c r="K63" s="4"/>
    </x:row>
    <x:row r="64" ht="38" customHeight="1">
      <x:c r="A64" s="1"/>
      <x:c r="B64" s="1"/>
      <x:c r="C64" s="4" t="str">
        <x:v>Row 31 • 1 assembly • Project estimate; obtain an itemized quote. [P-COST]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32 • 1 assembly • Process measurements plus separate calibrated quality truth channel with verified response time and synchronized logging. Unquoted assembly; adequacy depends on measured breakthrough/transport time. [P-COST]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33 • 1 assembly • Project estimate; obtain an itemized quote. [P-COST]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34 • 1 lot • Project estimate; obtain an itemized quote. [P-COST]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35 • 140 set • 120 planned runs plus 20 spare coupon/spacer sets. Spares do not add independent confirmation replicates. [P-COST]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36 • 120 run • 12 commissioning + 108 confirmation runs across six challenge families. Consumables only; no assays or salaries counted here. [P-COST]</x:v>
      </x:c>
      <x:c r="D69" s="4"/>
      <x:c r="E69" s="4"/>
      <x:c r="F69" s="4"/>
      <x:c r="G69" s="4"/>
      <x:c r="H69" s="4"/>
      <x:c r="I69" s="4"/>
      <x:c r="J69" s="4"/>
      <x:c r="K69" s="4"/>
    </x:row>
    <x:row r="70" ht="56" customHeight="1">
      <x:c r="A70" s="1"/>
      <x:c r="B70" s="1"/>
      <x:c r="C70" s="4" t="str">
        <x:v>Row 37 • 1 service package • 50 qualification hours × $150 plus 72 targeted organic/oil packages × $250 (two per oil-only or combined confirmation run). Separate from routine salt/ion panels. Analytes, sampling and price require a laboratory quote.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38 • 6 lot • Project estimate; obtain an itemized quote.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39 • 14 drum-equivalent • 14 drum-equivalent planning allowance including oil/surfactant challenges; volumes and accepted waste classifications require confirmation. [P-COST]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40 • 80 hour • Specific independent engineering review; statistician covers experimental QA, not this hardware audit. [P-COST]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41 • 80 hour • Project estimate; obtain an itemized quote. [P-COST]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42 • 1 lot • Project estimate; obtain an itemized quote. [P-COST]</x:v>
      </x:c>
      <x:c r="D75" s="4"/>
      <x:c r="E75" s="4"/>
      <x:c r="F75" s="4"/>
      <x:c r="G75" s="4"/>
      <x:c r="H75" s="4"/>
      <x:c r="I75" s="4"/>
      <x:c r="J75" s="4"/>
      <x:c r="K75" s="4"/>
    </x:row>
    <x:row r="76">
      <x:c r="A76" s="1"/>
      <x:c r="B76" s="1"/>
      <x:c r="C76" s="2"/>
      <x:c r="D76" s="2"/>
      <x:c r="E76" s="2"/>
      <x:c r="F76" s="2"/>
      <x:c r="G76" s="2"/>
      <x:c r="H76" s="2"/>
      <x:c r="I76" s="2"/>
      <x:c r="J76" s="2"/>
      <x:c r="K76" s="2"/>
    </x:row>
    <x:row r="77">
      <x:c r="A77" s="1"/>
      <x:c r="B77" s="1"/>
      <x:c r="C77" s="2"/>
      <x:c r="D77" s="2"/>
      <x:c r="E77" s="2"/>
      <x:c r="F77" s="2"/>
      <x:c r="G77" s="2"/>
      <x:c r="H77" s="2"/>
      <x:c r="I77" s="2"/>
      <x:c r="J77" s="2"/>
      <x:c r="K77" s="2"/>
    </x:row>
    <x:row r="78">
      <x:c r="A78" s="1"/>
      <x:c r="B78" s="1"/>
      <x:c r="C78" s="2"/>
      <x:c r="D78" s="2"/>
      <x:c r="E78" s="2"/>
      <x:c r="F78" s="2"/>
      <x:c r="G78" s="2"/>
      <x:c r="H78" s="2"/>
      <x:c r="I78" s="2"/>
      <x:c r="J78" s="2"/>
      <x:c r="K78" s="2"/>
    </x:row>
    <x:row r="79">
      <x:c r="A79" s="1"/>
      <x:c r="B79" s="1"/>
      <x:c r="C79" s="2"/>
      <x:c r="D79" s="2"/>
      <x:c r="E79" s="2"/>
      <x:c r="F79" s="2"/>
      <x:c r="G79" s="2"/>
      <x:c r="H79" s="2"/>
      <x:c r="I79" s="2"/>
      <x:c r="J79" s="2"/>
      <x:c r="K79" s="2"/>
    </x:row>
    <x:row r="80">
      <x:c r="A80" s="1"/>
      <x:c r="B80" s="1"/>
      <x:c r="C80" s="2"/>
      <x:c r="D80" s="2"/>
      <x:c r="E80" s="2"/>
      <x:c r="F80" s="2"/>
      <x:c r="G80" s="2"/>
      <x:c r="H80" s="2"/>
      <x:c r="I80" s="2"/>
      <x:c r="J80" s="2"/>
      <x:c r="K80" s="2"/>
    </x:row>
    <x:row r="81">
      <x:c r="A81" s="1"/>
      <x:c r="B81" s="1"/>
      <x:c r="C81" s="2"/>
      <x:c r="D81" s="2"/>
      <x:c r="E81" s="2"/>
      <x:c r="F81" s="2"/>
      <x:c r="G81" s="2"/>
      <x:c r="H81" s="2"/>
      <x:c r="I81" s="2"/>
      <x:c r="J81" s="2"/>
      <x:c r="K81" s="2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A frozen residence-time and contamination-inventory estimate controls routing and safe recovery on matched hardware.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Independent delivered-water truth, calibrated latency/mixing, an equipped MD host and a nontrivial baseline error or good-water-loss opportunity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12 commissioning runs and 108 confirmation runs; 864 principal plus 96 commissioning panels.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https://waterfromenergy.com/research-review.html#study-f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S04 • Wetting indicators, modes, and trade-offs in membrane distillation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https://par.nsf.gov/servlets/purl/10328046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S05 • In situ conductive spacers for early pore wetting detection in membrane distillation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https://www.sciencedirect.com/science/article/pii/S1383586622007195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S06 • Membrane technology for water reuse in decentralised non-sewered sanitation systems: comparison of pressure driven (reverse osmosis) and thermally driven processes (membrane distillation and pervaporation)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https://pubs.rsc.org/en/content/articlelanding/2024/ew/d4ew00200h</x:v>
      </x:c>
      <x:c r="D113" s="4"/>
      <x:c r="E113" s="4"/>
      <x:c r="F113" s="4"/>
      <x:c r="G113" s="4"/>
      <x:c r="H113" s="4"/>
      <x:c r="I113" s="4"/>
      <x:c r="J113" s="4"/>
      <x:c r="K113" s="4"/>
    </x:row>
    <x:row r="114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Candidate system-control contribution; novelty unresolved; prior-art references: N21, N22, N23, N24, N32, N33, S24, N34, S06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https://waterfromenergy.com/research-program.html#study-f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Does a transport-aware routing rule reduce actual off-spec water entering the accepted tank beyond competent early-warning and diversion controls?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58:K58"/>
    <x:mergeCell ref="C59:K59"/>
    <x:mergeCell ref="C61:K61"/>
    <x:mergeCell ref="C62:K62"/>
    <x:mergeCell ref="C63:K63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21:K121"/>
    <x:mergeCell ref="C122:K122"/>
    <x:mergeCell ref="C123:K123"/>
    <x:mergeCell ref="C124:K124"/>
  </x:mergeCells>
  <x:conditionalFormatting sqref="I55:I55">
    <x:cfRule type="cellIs" dxfId="5" priority="1" operator="notEqual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G • Test the full cooling and water balance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15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54 six-hour trajectory runs and three paired seven-day campaigns; 288 principal panels across 324 platform hours and 42 configuration-days.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15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40839.576</x:v>
      </x:c>
      <x:c r="I8" s="17" t="n">
        <x:f>H8*(1+J8)</x:f>
        <x:v>54071.598624000006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15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165846.645</x:v>
      </x:c>
      <x:c r="I9" s="17" t="n">
        <x:f>H9*(1+J9)</x:f>
        <x:v>219580.95798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0.75</x:v>
      </x:c>
      <x:c r="E10" s="2" t="n">
        <x:f>IF(AND(ISNUMBER($D$4),$D$4&gt;0),$D$4,NA())</x:f>
        <x:v>15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100374.9075</x:v>
      </x:c>
      <x:c r="I10" s="17" t="n">
        <x:f>H10*(1+J10)</x:f>
        <x:v>132896.37753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15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72877.155</x:v>
      </x:c>
      <x:c r="I11" s="17" t="n">
        <x:f>H11*(1+J11)</x:f>
        <x:v>100206.088125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15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19797.702749999997</x:v>
      </x:c>
      <x:c r="I12" s="17" t="n">
        <x:f>H12*(1+J12)</x:f>
        <x:v>26212.158440999996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15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169000</x:v>
      </x:c>
      <x:c r="I13" s="17" t="n">
        <x:f>H13*(1+J13)</x:f>
        <x:v>223756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756723.1807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288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60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30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57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435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Inputs!D41</x:f>
        <x:v>225</x:v>
      </x:c>
      <x:c r="G24" s="18" t="n">
        <x:f>F24*Inputs!D10</x:f>
        <x:v>225</x:v>
      </x:c>
      <x:c r="H24" s="17"/>
      <x:c r="I24" s="17" t="n">
        <x:f>D22*G24</x:f>
        <x:v>97875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Programmable 2 kW heat emulator / power metering</x:v>
      </x:c>
      <x:c r="D28" s="20" t="n">
        <x:v>1</x:v>
      </x:c>
      <x:c r="E28" s="20" t="str">
        <x:v>equipment</x:v>
      </x:c>
      <x:c r="F28" s="21" t="n">
        <x:v>15000</x:v>
      </x:c>
      <x:c r="G28" s="22" t="n">
        <x:f>IF(COUNT(F28)=1,F28*IF(E28="equipment",Inputs!D9,Inputs!D10),NA())</x:f>
        <x:v>15000</x:v>
      </x:c>
      <x:c r="H28" s="22" t="n">
        <x:f>G28*IF(OR(E28="equipment",E28="goods"),(1+Inputs!D18)*(1+Inputs!D17),1)</x:f>
        <x:v>17411.625</x:v>
      </x:c>
      <x:c r="I28" s="23" t="n">
        <x:f>IF(COUNT(D28)=1,D28*H28,NA())</x:f>
        <x:v>17411.625</x:v>
      </x:c>
      <x:c r="J28" s="23" t="n">
        <x:f>IF(AND(E28="equipment",H28&gt;=5000),I28,0)</x:f>
        <x:v>17411.625</x:v>
      </x:c>
      <x:c r="K28" s="4" t="str">
        <x:v>P-COST</x:v>
      </x:c>
    </x:row>
    <x:row r="29" ht="30" customHeight="1">
      <x:c r="A29" s="1"/>
      <x:c r="B29" s="1"/>
      <x:c r="C29" s="4" t="str">
        <x:v>Continuous-rated source and sink thermal system</x:v>
      </x:c>
      <x:c r="D29" s="20" t="n">
        <x:v>1</x:v>
      </x:c>
      <x:c r="E29" s="20" t="str">
        <x:v>equipment</x:v>
      </x:c>
      <x:c r="F29" s="21" t="n">
        <x:v>30000</x:v>
      </x:c>
      <x:c r="G29" s="22" t="n">
        <x:f>IF(COUNT(F29)=1,F29*IF(E29="equipment",Inputs!D9,Inputs!D10),NA())</x:f>
        <x:v>30000</x:v>
      </x:c>
      <x:c r="H29" s="22" t="n">
        <x:f>G29*IF(OR(E29="equipment",E29="goods"),(1+Inputs!D18)*(1+Inputs!D17),1)</x:f>
        <x:v>34823.25</x:v>
      </x:c>
      <x:c r="I29" s="23" t="n">
        <x:f>IF(COUNT(D29)=1,D29*H29,NA())</x:f>
        <x:v>34823.25</x:v>
      </x:c>
      <x:c r="J29" s="23" t="n">
        <x:f>IF(AND(E29="equipment",H29&gt;=5000),I29,0)</x:f>
        <x:v>34823.25</x:v>
      </x:c>
      <x:c r="K29" s="4" t="str">
        <x:v>B08; P-COST</x:v>
      </x:c>
    </x:row>
    <x:row r="30" ht="30" customHeight="1">
      <x:c r="A30" s="1"/>
      <x:c r="B30" s="1"/>
      <x:c r="C30" s="4" t="str">
        <x:v>Isolated heat-exchanger bank</x:v>
      </x:c>
      <x:c r="D30" s="20" t="n">
        <x:v>1</x:v>
      </x:c>
      <x:c r="E30" s="20" t="str">
        <x:v>equipment</x:v>
      </x:c>
      <x:c r="F30" s="21" t="n">
        <x:v>14000</x:v>
      </x:c>
      <x:c r="G30" s="22" t="n">
        <x:f>IF(COUNT(F30)=1,F30*IF(E30="equipment",Inputs!D9,Inputs!D10),NA())</x:f>
        <x:v>14000</x:v>
      </x:c>
      <x:c r="H30" s="22" t="n">
        <x:f>G30*IF(OR(E30="equipment",E30="goods"),(1+Inputs!D18)*(1+Inputs!D17),1)</x:f>
        <x:v>16250.849999999999</x:v>
      </x:c>
      <x:c r="I30" s="23" t="n">
        <x:f>IF(COUNT(D30)=1,D30*H30,NA())</x:f>
        <x:v>16250.849999999999</x:v>
      </x:c>
      <x:c r="J30" s="23" t="n">
        <x:f>IF(AND(E30="equipment",H30&gt;=5000),I30,0)</x:f>
        <x:v>16250.849999999999</x:v>
      </x:c>
      <x:c r="K30" s="4" t="str">
        <x:v>P-COST</x:v>
      </x:c>
    </x:row>
    <x:row r="31" ht="30" customHeight="1">
      <x:c r="A31" s="1"/>
      <x:c r="B31" s="1"/>
      <x:c r="C31" s="4" t="str">
        <x:v>Dry / evaporative / seawater cooling comparison rig</x:v>
      </x:c>
      <x:c r="D31" s="20" t="n">
        <x:v>1</x:v>
      </x:c>
      <x:c r="E31" s="20" t="str">
        <x:v>equipment</x:v>
      </x:c>
      <x:c r="F31" s="21" t="n">
        <x:v>24000</x:v>
      </x:c>
      <x:c r="G31" s="22" t="n">
        <x:f>IF(COUNT(F31)=1,F31*IF(E31="equipment",Inputs!D9,Inputs!D10),NA())</x:f>
        <x:v>24000</x:v>
      </x:c>
      <x:c r="H31" s="22" t="n">
        <x:f>G31*IF(OR(E31="equipment",E31="goods"),(1+Inputs!D18)*(1+Inputs!D17),1)</x:f>
        <x:v>27858.6</x:v>
      </x:c>
      <x:c r="I31" s="23" t="n">
        <x:f>IF(COUNT(D31)=1,D31*H31,NA())</x:f>
        <x:v>27858.6</x:v>
      </x:c>
      <x:c r="J31" s="23" t="n">
        <x:f>IF(AND(E31="equipment",H31&gt;=5000),I31,0)</x:f>
        <x:v>27858.6</x:v>
      </x:c>
      <x:c r="K31" s="4" t="str">
        <x:v>P-COST</x:v>
      </x:c>
    </x:row>
    <x:row r="32" ht="30" customHeight="1">
      <x:c r="A32" s="1"/>
      <x:c r="B32" s="1"/>
      <x:c r="C32" s="4" t="str">
        <x:v>Bench RO comparison assembly</x:v>
      </x:c>
      <x:c r="D32" s="20" t="n">
        <x:v>1</x:v>
      </x:c>
      <x:c r="E32" s="20" t="str">
        <x:v>equipment</x:v>
      </x:c>
      <x:c r="F32" s="21" t="n">
        <x:v>18000</x:v>
      </x:c>
      <x:c r="G32" s="22" t="n">
        <x:f>IF(COUNT(F32)=1,F32*IF(E32="equipment",Inputs!D9,Inputs!D10),NA())</x:f>
        <x:v>18000</x:v>
      </x:c>
      <x:c r="H32" s="22" t="n">
        <x:f>G32*IF(OR(E32="equipment",E32="goods"),(1+Inputs!D18)*(1+Inputs!D17),1)</x:f>
        <x:v>20893.949999999997</x:v>
      </x:c>
      <x:c r="I32" s="23" t="n">
        <x:f>IF(COUNT(D32)=1,D32*H32,NA())</x:f>
        <x:v>20893.949999999997</x:v>
      </x:c>
      <x:c r="J32" s="23" t="n">
        <x:f>IF(AND(E32="equipment",H32&gt;=5000),I32,0)</x:f>
        <x:v>20893.949999999997</x:v>
      </x:c>
      <x:c r="K32" s="4" t="str">
        <x:v>P-COST</x:v>
      </x:c>
    </x:row>
    <x:row r="33" ht="30" customHeight="1">
      <x:c r="A33" s="1"/>
      <x:c r="B33" s="1"/>
      <x:c r="C33" s="4" t="str">
        <x:v>Bench MD assembly</x:v>
      </x:c>
      <x:c r="D33" s="20" t="n">
        <x:v>1</x:v>
      </x:c>
      <x:c r="E33" s="20" t="str">
        <x:v>equipment</x:v>
      </x:c>
      <x:c r="F33" s="21" t="n">
        <x:v>16000</x:v>
      </x:c>
      <x:c r="G33" s="22" t="n">
        <x:f>IF(COUNT(F33)=1,F33*IF(E33="equipment",Inputs!D9,Inputs!D10),NA())</x:f>
        <x:v>16000</x:v>
      </x:c>
      <x:c r="H33" s="22" t="n">
        <x:f>G33*IF(OR(E33="equipment",E33="goods"),(1+Inputs!D18)*(1+Inputs!D17),1)</x:f>
        <x:v>18572.399999999998</x:v>
      </x:c>
      <x:c r="I33" s="23" t="n">
        <x:f>IF(COUNT(D33)=1,D33*H33,NA())</x:f>
        <x:v>18572.399999999998</x:v>
      </x:c>
      <x:c r="J33" s="23" t="n">
        <x:f>IF(AND(E33="equipment",H33&gt;=5000),I33,0)</x:f>
        <x:v>18572.399999999998</x:v>
      </x:c>
      <x:c r="K33" s="4" t="str">
        <x:v>B07; P-COST</x:v>
      </x:c>
    </x:row>
    <x:row r="34" ht="30" customHeight="1">
      <x:c r="A34" s="1"/>
      <x:c r="B34" s="1"/>
      <x:c r="C34" s="4" t="str">
        <x:v>Water / energy balance sensors and logging</x:v>
      </x:c>
      <x:c r="D34" s="20" t="n">
        <x:v>1</x:v>
      </x:c>
      <x:c r="E34" s="20" t="str">
        <x:v>equipment</x:v>
      </x:c>
      <x:c r="F34" s="21" t="n">
        <x:v>22000</x:v>
      </x:c>
      <x:c r="G34" s="22" t="n">
        <x:f>IF(COUNT(F34)=1,F34*IF(E34="equipment",Inputs!D9,Inputs!D10),NA())</x:f>
        <x:v>22000</x:v>
      </x:c>
      <x:c r="H34" s="22" t="n">
        <x:f>G34*IF(OR(E34="equipment",E34="goods"),(1+Inputs!D18)*(1+Inputs!D17),1)</x:f>
        <x:v>25537.05</x:v>
      </x:c>
      <x:c r="I34" s="23" t="n">
        <x:f>IF(COUNT(D34)=1,D34*H34,NA())</x:f>
        <x:v>25537.05</x:v>
      </x:c>
      <x:c r="J34" s="23" t="n">
        <x:f>IF(AND(E34="equipment",H34&gt;=5000),I34,0)</x:f>
        <x:v>25537.05</x:v>
      </x:c>
      <x:c r="K34" s="4" t="str">
        <x:v>P-COST</x:v>
      </x:c>
    </x:row>
    <x:row r="35" ht="30" customHeight="1">
      <x:c r="A35" s="1"/>
      <x:c r="B35" s="1"/>
      <x:c r="C35" s="4" t="str">
        <x:v>Backup heat dump / bypass / containment assembly</x:v>
      </x:c>
      <x:c r="D35" s="20" t="n">
        <x:v>1</x:v>
      </x:c>
      <x:c r="E35" s="20" t="str">
        <x:v>equipment</x:v>
      </x:c>
      <x:c r="F35" s="21" t="n">
        <x:v>14000</x:v>
      </x:c>
      <x:c r="G35" s="22" t="n">
        <x:f>IF(COUNT(F35)=1,F35*IF(E35="equipment",Inputs!D9,Inputs!D10),NA())</x:f>
        <x:v>14000</x:v>
      </x:c>
      <x:c r="H35" s="22" t="n">
        <x:f>G35*IF(OR(E35="equipment",E35="goods"),(1+Inputs!D18)*(1+Inputs!D17),1)</x:f>
        <x:v>16250.849999999999</x:v>
      </x:c>
      <x:c r="I35" s="23" t="n">
        <x:f>IF(COUNT(D35)=1,D35*H35,NA())</x:f>
        <x:v>16250.849999999999</x:v>
      </x:c>
      <x:c r="J35" s="23" t="n">
        <x:f>IF(AND(E35="equipment",H35&gt;=5000),I35,0)</x:f>
        <x:v>16250.849999999999</x:v>
      </x:c>
      <x:c r="K35" s="4" t="str">
        <x:v>P-COST</x:v>
      </x:c>
    </x:row>
    <x:row r="36" ht="30" customHeight="1">
      <x:c r="A36" s="1"/>
      <x:c r="B36" s="1"/>
      <x:c r="C36" s="4" t="str">
        <x:v>Plumbing, insulation and installation supplies</x:v>
      </x:c>
      <x:c r="D36" s="20" t="n">
        <x:v>1</x:v>
      </x:c>
      <x:c r="E36" s="20" t="str">
        <x:v>goods</x:v>
      </x:c>
      <x:c r="F36" s="21" t="n">
        <x:v>8000</x:v>
      </x:c>
      <x:c r="G36" s="22" t="n">
        <x:f>IF(COUNT(F36)=1,F36*IF(E36="equipment",Inputs!D9,Inputs!D10),NA())</x:f>
        <x:v>8000</x:v>
      </x:c>
      <x:c r="H36" s="22" t="n">
        <x:f>G36*IF(OR(E36="equipment",E36="goods"),(1+Inputs!D18)*(1+Inputs!D17),1)</x:f>
        <x:v>9286.199999999999</x:v>
      </x:c>
      <x:c r="I36" s="23" t="n">
        <x:f>IF(COUNT(D36)=1,D36*H36,NA())</x:f>
        <x:v>9286.199999999999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Six-hour test consumables</x:v>
      </x:c>
      <x:c r="D37" s="20" t="n">
        <x:v>54</x:v>
      </x:c>
      <x:c r="E37" s="20" t="str">
        <x:v>goods</x:v>
      </x:c>
      <x:c r="F37" s="21" t="n">
        <x:v>100</x:v>
      </x:c>
      <x:c r="G37" s="22" t="n">
        <x:f>IF(COUNT(F37)=1,F37*IF(E37="equipment",Inputs!D9,Inputs!D10),NA())</x:f>
        <x:v>100</x:v>
      </x:c>
      <x:c r="H37" s="22" t="n">
        <x:f>G37*IF(OR(E37="equipment",E37="goods"),(1+Inputs!D18)*(1+Inputs!D17),1)</x:f>
        <x:v>116.07749999999999</x:v>
      </x:c>
      <x:c r="I37" s="23" t="n">
        <x:f>IF(COUNT(D37)=1,D37*H37,NA())</x:f>
        <x:v>6268.1849999999995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Extended-run consumables</x:v>
      </x:c>
      <x:c r="D38" s="20" t="n">
        <x:v>42</x:v>
      </x:c>
      <x:c r="E38" s="20" t="str">
        <x:v>goods</x:v>
      </x:c>
      <x:c r="F38" s="21" t="n">
        <x:v>180</x:v>
      </x:c>
      <x:c r="G38" s="22" t="n">
        <x:f>IF(COUNT(F38)=1,F38*IF(E38="equipment",Inputs!D9,Inputs!D10),NA())</x:f>
        <x:v>180</x:v>
      </x:c>
      <x:c r="H38" s="22" t="n">
        <x:f>G38*IF(OR(E38="equipment",E38="goods"),(1+Inputs!D18)*(1+Inputs!D17),1)</x:f>
        <x:v>208.93949999999998</x:v>
      </x:c>
      <x:c r="I38" s="23" t="n">
        <x:f>IF(COUNT(D38)=1,D38*H38,NA())</x:f>
        <x:v>8775.458999999999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Real-feed / water logistics</x:v>
      </x:c>
      <x:c r="D39" s="20" t="n">
        <x:v>12</x:v>
      </x:c>
      <x:c r="E39" s="20" t="str">
        <x:v>service</x:v>
      </x:c>
      <x:c r="F39" s="21" t="n">
        <x:v>600</x:v>
      </x:c>
      <x:c r="G39" s="22" t="n">
        <x:f>IF(COUNT(F39)=1,F39*IF(E39="equipment",Inputs!D9,Inputs!D10),NA())</x:f>
        <x:v>600</x:v>
      </x:c>
      <x:c r="H39" s="22" t="n">
        <x:f>G39*IF(OR(E39="equipment",E39="goods"),(1+Inputs!D18)*(1+Inputs!D17),1)</x:f>
        <x:v>600</x:v>
      </x:c>
      <x:c r="I39" s="23" t="n">
        <x:f>IF(COUNT(D39)=1,D39*H39,NA())</x:f>
        <x:v>7200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Calibration and matrix qualification</x:v>
      </x:c>
      <x:c r="D40" s="20" t="n">
        <x:v>60</x:v>
      </x:c>
      <x:c r="E40" s="20" t="str">
        <x:v>service</x:v>
      </x:c>
      <x:c r="F40" s="21" t="n">
        <x:v>150</x:v>
      </x:c>
      <x:c r="G40" s="22" t="n">
        <x:f>IF(COUNT(F40)=1,F40*IF(E40="equipment",Inputs!D9,Inputs!D10),NA())</x:f>
        <x:v>150</x:v>
      </x:c>
      <x:c r="H40" s="22" t="n">
        <x:f>G40*IF(OR(E40="equipment",E40="goods"),(1+Inputs!D18)*(1+Inputs!D17),1)</x:f>
        <x:v>150</x:v>
      </x:c>
      <x:c r="I40" s="23" t="n">
        <x:f>IF(COUNT(D40)=1,D40*H40,NA())</x:f>
        <x:v>9000</x:v>
      </x:c>
      <x:c r="J40" s="23" t="n">
        <x:f>IF(AND(E40="equipment",H40&gt;=5000),I40,0)</x:f>
        <x:v>0</x:v>
      </x:c>
      <x:c r="K40" s="4" t="str">
        <x:v>P-COST</x:v>
      </x:c>
    </x:row>
    <x:row r="41" ht="30" customHeight="1">
      <x:c r="A41" s="1"/>
      <x:c r="B41" s="1"/>
      <x:c r="C41" s="4" t="str">
        <x:v>Independent heat / electrical / pressure review</x:v>
      </x:c>
      <x:c r="D41" s="20" t="n">
        <x:v>100</x:v>
      </x:c>
      <x:c r="E41" s="20" t="str">
        <x:v>service</x:v>
      </x:c>
      <x:c r="F41" s="21" t="n">
        <x:v>175</x:v>
      </x:c>
      <x:c r="G41" s="22" t="n">
        <x:f>IF(COUNT(F41)=1,F41*IF(E41="equipment",Inputs!D9,Inputs!D10),NA())</x:f>
        <x:v>175</x:v>
      </x:c>
      <x:c r="H41" s="22" t="n">
        <x:f>G41*IF(OR(E41="equipment",E41="goods"),(1+Inputs!D18)*(1+Inputs!D17),1)</x:f>
        <x:v>175</x:v>
      </x:c>
      <x:c r="I41" s="23" t="n">
        <x:f>IF(COUNT(D41)=1,D41*H41,NA())</x:f>
        <x:v>17500</x:v>
      </x:c>
      <x:c r="J41" s="23" t="n">
        <x:f>IF(AND(E41="equipment",H41&gt;=5000),I41,0)</x:f>
        <x:v>0</x:v>
      </x:c>
      <x:c r="K41" s="4" t="str">
        <x:v>P-COST</x:v>
      </x:c>
    </x:row>
    <x:row r="42" ht="30" customHeight="1">
      <x:c r="A42" s="1"/>
      <x:c r="B42" s="1"/>
      <x:c r="C42" s="4" t="str">
        <x:v>Specialist rig fabrication / commissioning</x:v>
      </x:c>
      <x:c r="D42" s="20" t="n">
        <x:v>120</x:v>
      </x:c>
      <x:c r="E42" s="20" t="str">
        <x:v>service</x:v>
      </x:c>
      <x:c r="F42" s="21" t="n">
        <x:v>125</x:v>
      </x:c>
      <x:c r="G42" s="22" t="n">
        <x:f>IF(COUNT(F42)=1,F42*IF(E42="equipment",Inputs!D9,Inputs!D10),NA())</x:f>
        <x:v>125</x:v>
      </x:c>
      <x:c r="H42" s="22" t="n">
        <x:f>G42*IF(OR(E42="equipment",E42="goods"),(1+Inputs!D18)*(1+Inputs!D17),1)</x:f>
        <x:v>125</x:v>
      </x:c>
      <x:c r="I42" s="23" t="n">
        <x:f>IF(COUNT(D42)=1,D42*H42,NA())</x:f>
        <x:v>15000</x:v>
      </x:c>
      <x:c r="J42" s="23" t="n">
        <x:f>IF(AND(E42="equipment",H42&gt;=5000),I42,0)</x:f>
        <x:v>0</x:v>
      </x:c>
      <x:c r="K42" s="4" t="str">
        <x:v>P-COST</x:v>
      </x:c>
    </x:row>
    <x:row r="43" ht="30" customHeight="1">
      <x:c r="A43" s="1"/>
      <x:c r="B43" s="1"/>
      <x:c r="C43" s="4" t="str">
        <x:v>Extended-run relief / on-call coverage</x:v>
      </x:c>
      <x:c r="D43" s="20" t="n">
        <x:v>168</x:v>
      </x:c>
      <x:c r="E43" s="20" t="str">
        <x:v>service</x:v>
      </x:c>
      <x:c r="F43" s="21" t="n">
        <x:v>70</x:v>
      </x:c>
      <x:c r="G43" s="22" t="n">
        <x:f>IF(COUNT(F43)=1,F43*IF(E43="equipment",Inputs!D9,Inputs!D10),NA())</x:f>
        <x:v>70</x:v>
      </x:c>
      <x:c r="H43" s="22" t="n">
        <x:f>G43*IF(OR(E43="equipment",E43="goods"),(1+Inputs!D18)*(1+Inputs!D17),1)</x:f>
        <x:v>70</x:v>
      </x:c>
      <x:c r="I43" s="23" t="n">
        <x:f>IF(COUNT(D43)=1,D43*H43,NA())</x:f>
        <x:v>11760</x:v>
      </x:c>
      <x:c r="J43" s="23" t="n">
        <x:f>IF(AND(E43="equipment",H43&gt;=5000),I43,0)</x:f>
        <x:v>0</x:v>
      </x:c>
      <x:c r="K43" s="4" t="str">
        <x:v>P-COST</x:v>
      </x:c>
    </x:row>
    <x:row r="44" ht="30" customHeight="1">
      <x:c r="A44" s="1"/>
      <x:c r="B44" s="1"/>
      <x:c r="C44" s="4" t="str">
        <x:v>Residual packaging and disposal</x:v>
      </x:c>
      <x:c r="D44" s="20" t="n">
        <x:v>16</x:v>
      </x:c>
      <x:c r="E44" s="20" t="str">
        <x:v>service</x:v>
      </x:c>
      <x:c r="F44" s="21" t="n">
        <x:v>600</x:v>
      </x:c>
      <x:c r="G44" s="22" t="n">
        <x:f>IF(COUNT(F44)=1,F44*IF(E44="equipment",Inputs!D9,Inputs!D10),NA())</x:f>
        <x:v>600</x:v>
      </x:c>
      <x:c r="H44" s="22" t="n">
        <x:f>G44*IF(OR(E44="equipment",E44="goods"),(1+Inputs!D18)*(1+Inputs!D17),1)</x:f>
        <x:v>600</x:v>
      </x:c>
      <x:c r="I44" s="23" t="n">
        <x:f>IF(COUNT(D44)=1,D44*H44,NA())</x:f>
        <x:v>9600</x:v>
      </x:c>
      <x:c r="J44" s="23" t="n">
        <x:f>IF(AND(E44="equipment",H44&gt;=5000),I44,0)</x:f>
        <x:v>0</x:v>
      </x:c>
      <x:c r="K44" s="4" t="str">
        <x:v>P-COST</x:v>
      </x:c>
    </x:row>
    <x:row r="45" ht="30" customHeight="1">
      <x:c r="A45" s="1"/>
      <x:c r="B45" s="1"/>
      <x:c r="C45" s="4" t="str">
        <x:v>Replacement membranes, instruments and standards</x:v>
      </x:c>
      <x:c r="D45" s="20" t="n">
        <x:v>1</x:v>
      </x:c>
      <x:c r="E45" s="20" t="str">
        <x:v>goods</x:v>
      </x:c>
      <x:c r="F45" s="21" t="n">
        <x:v>8000</x:v>
      </x:c>
      <x:c r="G45" s="22" t="n">
        <x:f>IF(COUNT(F45)=1,F45*IF(E45="equipment",Inputs!D9,Inputs!D10),NA())</x:f>
        <x:v>8000</x:v>
      </x:c>
      <x:c r="H45" s="22" t="n">
        <x:f>G45*IF(OR(E45="equipment",E45="goods"),(1+Inputs!D18)*(1+Inputs!D17),1)</x:f>
        <x:v>9286.199999999999</x:v>
      </x:c>
      <x:c r="I45" s="23" t="n">
        <x:f>IF(COUNT(D45)=1,D45*H45,NA())</x:f>
        <x:v>9286.199999999999</x:v>
      </x:c>
      <x:c r="J45" s="23" t="n">
        <x:f>IF(AND(E45="equipment",H45&gt;=5000),I45,0)</x:f>
        <x:v>0</x:v>
      </x:c>
      <x:c r="K45" s="4" t="str">
        <x:v>P-COST</x:v>
      </x:c>
    </x:row>
    <x:row r="46">
      <x:c r="A46" s="1"/>
      <x:c r="B46" s="1"/>
      <x:c r="C46" s="2"/>
      <x:c r="D46" s="2"/>
      <x:c r="E46" s="2"/>
      <x:c r="F46" s="2"/>
      <x:c r="G46" s="2"/>
      <x:c r="H46" s="2"/>
      <x:c r="I46" s="2"/>
      <x:c r="J46" s="2"/>
      <x:c r="K46" s="2"/>
    </x:row>
    <x:row r="47">
      <x:c r="A47" s="1"/>
      <x:c r="B47" s="1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32" customHeight="1">
      <x:c r="A48" s="1"/>
      <x:c r="B48" s="1"/>
      <x:c r="C48" s="9" t="str">
        <x:v>Funding build</x:v>
      </x:c>
      <x:c r="D48" s="9" t="str"/>
      <x:c r="E48" s="9" t="str"/>
      <x:c r="F48" s="9" t="str"/>
      <x:c r="G48" s="9" t="str"/>
      <x:c r="H48" s="9" t="str"/>
      <x:c r="I48" s="9" t="str">
        <x:v>Amount</x:v>
      </x:c>
      <x:c r="J48" s="9" t="str"/>
      <x:c r="K48" s="9" t="str"/>
    </x:row>
    <x:row r="49">
      <x:c r="A49" s="1"/>
      <x:c r="B49" s="1"/>
      <x:c r="C49" s="2" t="str">
        <x:v>Other direct costs</x:v>
      </x:c>
      <x:c r="D49" s="2"/>
      <x:c r="E49" s="2"/>
      <x:c r="F49" s="2"/>
      <x:c r="G49" s="2"/>
      <x:c r="H49" s="2"/>
      <x:c r="I49" s="17" t="n">
        <x:f>SUM(I28:I45)</x:f>
        <x:v>281274.619</x:v>
      </x:c>
      <x:c r="J49" s="2"/>
      <x:c r="K49" s="2"/>
    </x:row>
    <x:row r="50">
      <x:c r="A50" s="1"/>
      <x:c r="B50" s="1"/>
      <x:c r="C50" s="2" t="str">
        <x:v>Total direct costs</x:v>
      </x:c>
      <x:c r="D50" s="2"/>
      <x:c r="E50" s="2"/>
      <x:c r="F50" s="2"/>
      <x:c r="G50" s="2"/>
      <x:c r="H50" s="2"/>
      <x:c r="I50" s="17" t="n">
        <x:f>I15+I24+I49</x:f>
        <x:v>1135872.7997</x:v>
      </x:c>
      <x:c r="J50" s="2"/>
      <x:c r="K50" s="2"/>
    </x:row>
    <x:row r="51">
      <x:c r="A51" s="1"/>
      <x:c r="B51" s="1"/>
      <x:c r="C51" s="2" t="str">
        <x:v>Equipment excluded from MTDC</x:v>
      </x:c>
      <x:c r="D51" s="2"/>
      <x:c r="E51" s="2"/>
      <x:c r="F51" s="2"/>
      <x:c r="G51" s="2"/>
      <x:c r="H51" s="2"/>
      <x:c r="I51" s="17" t="n">
        <x:f>SUM(J28:J45)</x:f>
        <x:v>177598.575</x:v>
      </x:c>
      <x:c r="J51" s="2"/>
      <x:c r="K51" s="2"/>
    </x:row>
    <x:row r="52">
      <x:c r="A52" s="1"/>
      <x:c r="B52" s="1"/>
      <x:c r="C52" s="2" t="str">
        <x:v>Modified direct-cost base</x:v>
      </x:c>
      <x:c r="D52" s="2"/>
      <x:c r="E52" s="2"/>
      <x:c r="F52" s="2"/>
      <x:c r="G52" s="2"/>
      <x:c r="H52" s="2"/>
      <x:c r="I52" s="17" t="n">
        <x:f>I50-I51</x:f>
        <x:v>958274.2247000001</x:v>
      </x:c>
      <x:c r="J52" s="2"/>
      <x:c r="K52" s="2"/>
    </x:row>
    <x:row r="53">
      <x:c r="A53" s="1"/>
      <x:c r="B53" s="1"/>
      <x:c r="C53" s="2" t="str">
        <x:v>Institutional cost / F&amp;A</x:v>
      </x:c>
      <x:c r="D53" s="2"/>
      <x:c r="E53" s="2"/>
      <x:c r="F53" s="2"/>
      <x:c r="G53" s="2"/>
      <x:c r="H53" s="2"/>
      <x:c r="I53" s="18" t="n">
        <x:f>I52*Inputs!D15</x:f>
        <x:v>531842.1947085002</x:v>
      </x:c>
      <x:c r="J53" s="2"/>
      <x:c r="K53" s="2"/>
    </x:row>
    <x:row r="54">
      <x:c r="A54" s="1"/>
      <x:c r="B54" s="1"/>
      <x:c r="C54" s="2" t="str">
        <x:v>Direct plus institutional</x:v>
      </x:c>
      <x:c r="D54" s="2"/>
      <x:c r="E54" s="2"/>
      <x:c r="F54" s="2"/>
      <x:c r="G54" s="2"/>
      <x:c r="H54" s="2"/>
      <x:c r="I54" s="17" t="n">
        <x:f>I50+I53</x:f>
        <x:v>1667714.9944085004</x:v>
      </x:c>
      <x:c r="J54" s="2"/>
      <x:c r="K54" s="2"/>
    </x:row>
    <x:row r="55">
      <x:c r="A55" s="1"/>
      <x:c r="B55" s="1"/>
      <x:c r="C55" s="2" t="str">
        <x:v>Risk reserve</x:v>
      </x:c>
      <x:c r="D55" s="2"/>
      <x:c r="E55" s="2"/>
      <x:c r="F55" s="2"/>
      <x:c r="G55" s="2"/>
      <x:c r="H55" s="2"/>
      <x:c r="I55" s="18" t="n">
        <x:f>I54*Inputs!D16</x:f>
        <x:v>250157.24916127505</x:v>
      </x:c>
      <x:c r="J55" s="2"/>
      <x:c r="K55" s="2"/>
    </x:row>
    <x:row r="56">
      <x:c r="A56" s="1"/>
      <x:c r="B56" s="1"/>
      <x:c r="C56" s="8" t="str">
        <x:v>PRELIMINARY FUNDING ENVELOPE</x:v>
      </x:c>
      <x:c r="D56" s="8"/>
      <x:c r="E56" s="8"/>
      <x:c r="F56" s="8"/>
      <x:c r="G56" s="8"/>
      <x:c r="H56" s="8"/>
      <x:c r="I56" s="25" t="n">
        <x:f>SUM(I54:I55)</x:f>
        <x:v>1917872.2435697755</x:v>
      </x:c>
      <x:c r="J56" s="8"/>
      <x:c r="K56" s="8"/>
    </x:row>
    <x:row r="57">
      <x:c r="A57" s="1"/>
      <x:c r="B57" s="1"/>
      <x:c r="C57" s="2"/>
      <x:c r="D57" s="2"/>
      <x:c r="E57" s="2"/>
      <x:c r="F57" s="2"/>
      <x:c r="G57" s="2"/>
      <x:c r="H57" s="2"/>
      <x:c r="I57" s="2"/>
      <x:c r="J57" s="2"/>
      <x:c r="K57" s="2"/>
    </x:row>
    <x:row r="58">
      <x:c r="A58" s="1"/>
      <x:c r="B58" s="1"/>
      <x:c r="C58" s="2" t="str">
        <x:v>Reconciliation difference (must be zero)</x:v>
      </x:c>
      <x:c r="D58" s="2"/>
      <x:c r="E58" s="2"/>
      <x:c r="F58" s="2"/>
      <x:c r="G58" s="2"/>
      <x:c r="H58" s="2"/>
      <x:c r="I58" s="17" t="n">
        <x:f>ROUND(I56-I15-I24-I49-I53-I55,2)</x:f>
        <x:v>0</x:v>
      </x:c>
      <x:c r="J58" s="2"/>
      <x:c r="K58" s="2"/>
    </x:row>
    <x:row r="59">
      <x:c r="A59" s="1"/>
      <x:c r="B59" s="1"/>
      <x:c r="C59" s="2"/>
      <x:c r="D59" s="2"/>
      <x:c r="E59" s="2"/>
      <x:c r="F59" s="2"/>
      <x:c r="G59" s="2"/>
      <x:c r="H59" s="2"/>
      <x:c r="I59" s="2"/>
      <x:c r="J59" s="2"/>
      <x:c r="K59" s="2"/>
    </x:row>
    <x:row r="60">
      <x:c r="A60" s="1"/>
      <x:c r="B60" s="1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54" customHeight="1">
      <x:c r="A61" s="1"/>
      <x:c r="B61" s="1"/>
      <x:c r="C61" s="4" t="str">
        <x:v>Actual source/sink and demand traces, feasible host cooling alternatives and an absolute freshwater-saving opportunity are required. All quantities are unquoted planning ceilings. Confirmation precision and exact analytical methods require host/scientific review.</x:v>
      </x:c>
      <x:c r="D61" s="4"/>
      <x:c r="E61" s="4"/>
      <x:c r="F61" s="4"/>
      <x:c r="G61" s="4"/>
      <x:c r="H61" s="4"/>
      <x:c r="I61" s="4"/>
      <x:c r="J61" s="4"/>
      <x:c r="K61" s="4"/>
    </x:row>
    <x:row r="62" ht="38" customHeight="1">
      <x:c r="A62" s="1"/>
      <x:c r="B62" s="1"/>
      <x:c r="C62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62" s="4"/>
      <x:c r="E62" s="4"/>
      <x:c r="F62" s="4"/>
      <x:c r="G62" s="4"/>
      <x:c r="H62" s="4"/>
      <x:c r="I62" s="4"/>
      <x:c r="J62" s="4"/>
      <x:c r="K62" s="4"/>
    </x:row>
    <x:row r="63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38" customHeight="1">
      <x:c r="A64" s="1"/>
      <x:c r="B64" s="1"/>
      <x:c r="C64" s="4" t="str">
        <x:v>Row 28 • 1 assembly • Project estimate; obtain an itemized quote. [P-COST]</x:v>
      </x:c>
      <x:c r="D64" s="4"/>
      <x:c r="E64" s="4"/>
      <x:c r="F64" s="4"/>
      <x:c r="G64" s="4"/>
      <x:c r="H64" s="4"/>
      <x:c r="I64" s="4"/>
      <x:c r="J64" s="4"/>
      <x:c r="K64" s="4"/>
    </x:row>
    <x:row r="65" ht="38" customHeight="1">
      <x:c r="A65" s="1"/>
      <x:c r="B65" s="1"/>
      <x:c r="C65" s="4" t="str">
        <x:v>Row 29 • 1 assembly • Full-system allowance, not a selected $7,199 chiller. Must sustain all 2 kW test conditions and seven-day runs. [B08; P-COST]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Row 30 • 1 assembly • Project estimate; obtain an itemized quote. [P-COST]</x:v>
      </x:c>
      <x:c r="D66" s="4"/>
      <x:c r="E66" s="4"/>
      <x:c r="F66" s="4"/>
      <x:c r="G66" s="4"/>
      <x:c r="H66" s="4"/>
      <x:c r="I66" s="4"/>
      <x:c r="J66" s="4"/>
      <x:c r="K66" s="4"/>
    </x:row>
    <x:row r="67" ht="38" customHeight="1">
      <x:c r="A67" s="1"/>
      <x:c r="B67" s="1"/>
      <x:c r="C67" s="4" t="str">
        <x:v>Row 31 • 1 assembly • Project estimate; obtain an itemized quote. [P-COST]</x:v>
      </x:c>
      <x:c r="D67" s="4"/>
      <x:c r="E67" s="4"/>
      <x:c r="F67" s="4"/>
      <x:c r="G67" s="4"/>
      <x:c r="H67" s="4"/>
      <x:c r="I67" s="4"/>
      <x:c r="J67" s="4"/>
      <x:c r="K67" s="4"/>
    </x:row>
    <x:row r="68" ht="38" customHeight="1">
      <x:c r="A68" s="1"/>
      <x:c r="B68" s="1"/>
      <x:c r="C68" s="4" t="str">
        <x:v>Row 32 • 1 assembly • Project estimate; obtain an itemized quote. [P-COST]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33 • 1 assembly • Complete custom system allowance; small-cell catalog price does not price this rig. [B07; P-COST]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34 • 1 assembly • Project estimate; obtain an itemized quote.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35 • 1 assembly • Project estimate; obtain an itemized quote.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36 • 1 lot • Project estimate; obtain an itemized quote. [P-COST]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37 • 54 run • Project estimate; obtain an itemized quote. [P-COST]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38 • 42 configuration-day • Project estimate; obtain an itemized quote. [P-COST]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39 • 12 lot • Project estimate; obtain an itemized quote. [P-COST]</x:v>
      </x:c>
      <x:c r="D75" s="4"/>
      <x:c r="E75" s="4"/>
      <x:c r="F75" s="4"/>
      <x:c r="G75" s="4"/>
      <x:c r="H75" s="4"/>
      <x:c r="I75" s="4"/>
      <x:c r="J75" s="4"/>
      <x:c r="K75" s="4"/>
    </x:row>
    <x:row r="76" ht="38" customHeight="1">
      <x:c r="A76" s="1"/>
      <x:c r="B76" s="1"/>
      <x:c r="C76" s="4" t="str">
        <x:v>Row 40 • 60 hour • Project estimate; obtain an itemized quote. [P-COST]</x:v>
      </x:c>
      <x:c r="D76" s="4"/>
      <x:c r="E76" s="4"/>
      <x:c r="F76" s="4"/>
      <x:c r="G76" s="4"/>
      <x:c r="H76" s="4"/>
      <x:c r="I76" s="4"/>
      <x:c r="J76" s="4"/>
      <x:c r="K76" s="4"/>
    </x:row>
    <x:row r="77" ht="38" customHeight="1">
      <x:c r="A77" s="1"/>
      <x:c r="B77" s="1"/>
      <x:c r="C77" s="4" t="str">
        <x:v>Row 41 • 100 hour • Project estimate; obtain an itemized quote. [P-COST]</x:v>
      </x:c>
      <x:c r="D77" s="4"/>
      <x:c r="E77" s="4"/>
      <x:c r="F77" s="4"/>
      <x:c r="G77" s="4"/>
      <x:c r="H77" s="4"/>
      <x:c r="I77" s="4"/>
      <x:c r="J77" s="4"/>
      <x:c r="K77" s="4"/>
    </x:row>
    <x:row r="78" ht="38" customHeight="1">
      <x:c r="A78" s="1"/>
      <x:c r="B78" s="1"/>
      <x:c r="C78" s="4" t="str">
        <x:v>Row 42 • 120 hour • Project estimate; obtain an itemized quote. [P-COST]</x:v>
      </x:c>
      <x:c r="D78" s="4"/>
      <x:c r="E78" s="4"/>
      <x:c r="F78" s="4"/>
      <x:c r="G78" s="4"/>
      <x:c r="H78" s="4"/>
      <x:c r="I78" s="4"/>
      <x:c r="J78" s="4"/>
      <x:c r="K78" s="4"/>
    </x:row>
    <x:row r="79" ht="38" customHeight="1">
      <x:c r="A79" s="1"/>
      <x:c r="B79" s="1"/>
      <x:c r="C79" s="4" t="str">
        <x:v>Row 43 • 168 hour • Additional contractor coverage at 4 hours per configuration-day, inclusive rate; ordinary staffed work is in team salaries. Unattended safe shutdown required; this is not 24/7 continuous staffing. [P-COST]</x:v>
      </x:c>
      <x:c r="D79" s="4"/>
      <x:c r="E79" s="4"/>
      <x:c r="F79" s="4"/>
      <x:c r="G79" s="4"/>
      <x:c r="H79" s="4"/>
      <x:c r="I79" s="4"/>
      <x:c r="J79" s="4"/>
      <x:c r="K79" s="4"/>
    </x:row>
    <x:row r="80" ht="38" customHeight="1">
      <x:c r="A80" s="1"/>
      <x:c r="B80" s="1"/>
      <x:c r="C80" s="4" t="str">
        <x:v>Row 44 • 16 drum-equivalent • Project estimate; obtain an itemized quote. [P-COST]</x:v>
      </x:c>
      <x:c r="D80" s="4"/>
      <x:c r="E80" s="4"/>
      <x:c r="F80" s="4"/>
      <x:c r="G80" s="4"/>
      <x:c r="H80" s="4"/>
      <x:c r="I80" s="4"/>
      <x:c r="J80" s="4"/>
      <x:c r="K80" s="4"/>
    </x:row>
    <x:row r="81" ht="38" customHeight="1">
      <x:c r="A81" s="1"/>
      <x:c r="B81" s="1"/>
      <x:c r="C81" s="4" t="str">
        <x:v>Row 45 • 1 lot • Project estimate; obtain an itemized quote. [P-COST]</x:v>
      </x:c>
      <x:c r="D81" s="4"/>
      <x:c r="E81" s="4"/>
      <x:c r="F81" s="4"/>
      <x:c r="G81" s="4"/>
      <x:c r="H81" s="4"/>
      <x:c r="I81" s="4"/>
      <x:c r="J81" s="4"/>
      <x:c r="K81" s="4"/>
    </x:row>
    <x:row r="82">
      <x:c r="A82" s="1"/>
      <x:c r="B82" s="1"/>
      <x:c r="C82" s="2"/>
      <x:c r="D82" s="2"/>
      <x:c r="E82" s="2"/>
      <x:c r="F82" s="2"/>
      <x:c r="G82" s="2"/>
      <x:c r="H82" s="2"/>
      <x:c r="I82" s="2"/>
      <x:c r="J82" s="2"/>
      <x:c r="K82" s="2"/>
    </x:row>
    <x:row r="83">
      <x:c r="A83" s="1"/>
      <x:c r="B83" s="1"/>
      <x:c r="C83" s="2"/>
      <x:c r="D83" s="2"/>
      <x:c r="E83" s="2"/>
      <x:c r="F83" s="2"/>
      <x:c r="G83" s="2"/>
      <x:c r="H83" s="2"/>
      <x:c r="I83" s="2"/>
      <x:c r="J83" s="2"/>
      <x:c r="K83" s="2"/>
    </x:row>
    <x:row r="84">
      <x:c r="A84" s="1"/>
      <x:c r="B84" s="1"/>
      <x:c r="C84" s="2"/>
      <x:c r="D84" s="2"/>
      <x:c r="E84" s="2"/>
      <x:c r="F84" s="2"/>
      <x:c r="G84" s="2"/>
      <x:c r="H84" s="2"/>
      <x:c r="I84" s="2"/>
      <x:c r="J84" s="2"/>
      <x:c r="K84" s="2"/>
    </x:row>
    <x:row r="85">
      <x:c r="A85" s="1"/>
      <x:c r="B85" s="1"/>
      <x:c r="C85" s="2"/>
      <x:c r="D85" s="2"/>
      <x:c r="E85" s="2"/>
      <x:c r="F85" s="2"/>
      <x:c r="G85" s="2"/>
      <x:c r="H85" s="2"/>
      <x:c r="I85" s="2"/>
      <x:c r="J85" s="2"/>
      <x:c r="K85" s="2"/>
    </x:row>
    <x:row r="86">
      <x:c r="A86" s="1"/>
      <x:c r="B86" s="1"/>
      <x:c r="C86" s="2"/>
      <x:c r="D86" s="2"/>
      <x:c r="E86" s="2"/>
      <x:c r="F86" s="2"/>
      <x:c r="G86" s="2"/>
      <x:c r="H86" s="2"/>
      <x:c r="I86" s="2"/>
      <x:c r="J86" s="2"/>
      <x:c r="K86" s="2"/>
    </x:row>
    <x:row r="87">
      <x:c r="A87" s="1"/>
      <x:c r="B87" s="1"/>
      <x:c r="C87" s="2"/>
      <x:c r="D87" s="2"/>
      <x:c r="E87" s="2"/>
      <x:c r="F87" s="2"/>
      <x:c r="G87" s="2"/>
      <x:c r="H87" s="2"/>
      <x:c r="I87" s="2"/>
      <x:c r="J87" s="2"/>
      <x:c r="K87" s="2"/>
    </x:row>
    <x:row r="88">
      <x:c r="A88" s="1"/>
      <x:c r="B88" s="1"/>
      <x:c r="C88" s="2"/>
      <x:c r="D88" s="2"/>
      <x:c r="E88" s="2"/>
      <x:c r="F88" s="2"/>
      <x:c r="G88" s="2"/>
      <x:c r="H88" s="2"/>
      <x:c r="I88" s="2"/>
      <x:c r="J88" s="2"/>
      <x:c r="K88" s="2"/>
    </x:row>
    <x:row r="89">
      <x:c r="A89" s="1"/>
      <x:c r="B89" s="1"/>
      <x:c r="C89" s="2"/>
      <x:c r="D89" s="2"/>
      <x:c r="E89" s="2"/>
      <x:c r="F89" s="2"/>
      <x:c r="G89" s="2"/>
      <x:c r="H89" s="2"/>
      <x:c r="I89" s="2"/>
      <x:c r="J89" s="2"/>
      <x:c r="K89" s="2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Map failure and benefit boundaries at equal cooling reliability and accepted-water service; advance a new controller only if an explicit difference survives existing scheduling prior art.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Actual source/sink and demand traces, feasible host cooling alternatives and an absolute freshwater-saving opportunity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54 six-hour trajectory runs and three paired seven-day campaigns; 288 principal panels across 324 platform hours and 42 configuration-days.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https://waterfromenergy.com/research-review.html#study-g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S09 • Waste heat won't make membrane distillation cool: Thermodynamic analysis of cooling and pumping burdens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https://iris.polito.it/retrieve/c2612a47-ce66-4dfc-9742-367e56ec3f6d/1-s2.0-S0011916426001955-main.pdf</x:v>
      </x:c>
      <x:c r="D109" s="4"/>
      <x:c r="E109" s="4"/>
      <x:c r="F109" s="4"/>
      <x:c r="G109" s="4"/>
      <x:c r="H109" s="4"/>
      <x:c r="I109" s="4"/>
      <x:c r="J109" s="4"/>
      <x:c r="K109" s="4"/>
    </x:row>
    <x:row r="110" ht="46" customHeight="1">
      <x:c r="A110" s="1"/>
      <x:c r="B110" s="1"/>
      <x:c r="C110" s="4" t="str">
        <x:v>S15 • Solar-powered resource separator for clean water production, electricity generation and critical resource recovery</x:v>
      </x:c>
      <x:c r="D110" s="4"/>
      <x:c r="E110" s="4"/>
      <x:c r="F110" s="4"/>
      <x:c r="G110" s="4"/>
      <x:c r="H110" s="4"/>
      <x:c r="I110" s="4"/>
      <x:c r="J110" s="4"/>
      <x:c r="K110" s="4"/>
    </x:row>
    <x:row r="111" ht="46" customHeight="1">
      <x:c r="A111" s="1"/>
      <x:c r="B111" s="1"/>
      <x:c r="C111" s="4" t="str">
        <x:v>https://www.nature.com/articles/s44221-026-00700-2</x:v>
      </x:c>
      <x:c r="D111" s="4"/>
      <x:c r="E111" s="4"/>
      <x:c r="F111" s="4"/>
      <x:c r="G111" s="4"/>
      <x:c r="H111" s="4"/>
      <x:c r="I111" s="4"/>
      <x:c r="J111" s="4"/>
      <x:c r="K111" s="4"/>
    </x:row>
    <x:row r="112" ht="46" customHeight="1">
      <x:c r="A112" s="1"/>
      <x:c r="B112" s="1"/>
      <x:c r="C112" s="4" t="str">
        <x:v>S20 • Pioneering minimum liquid discharge desalination: A pilot study in Lampedusa Island</x:v>
      </x:c>
      <x:c r="D112" s="4"/>
      <x:c r="E112" s="4"/>
      <x:c r="F112" s="4"/>
      <x:c r="G112" s="4"/>
      <x:c r="H112" s="4"/>
      <x:c r="I112" s="4"/>
      <x:c r="J112" s="4"/>
      <x:c r="K112" s="4"/>
    </x:row>
    <x:row r="113" ht="46" customHeight="1">
      <x:c r="A113" s="1"/>
      <x:c r="B113" s="1"/>
      <x:c r="C113" s="4" t="str">
        <x:v>https://research.tudelft.nl/en/publications/pioneering-minimum-liquid-discharge-desalination-a-pilot-study-in/</x:v>
      </x:c>
      <x:c r="D113" s="4"/>
      <x:c r="E113" s="4"/>
      <x:c r="F113" s="4"/>
      <x:c r="G113" s="4"/>
      <x:c r="H113" s="4"/>
      <x:c r="I113" s="4"/>
      <x:c r="J113" s="4"/>
      <x:c r="K113" s="4"/>
    </x:row>
    <x:row r="114" ht="46" customHeight="1">
      <x:c r="A114" s="1"/>
      <x:c r="B114" s="1"/>
      <x:c r="C114" s="4" t="str">
        <x:v>S22 • Analysis of energy, water, land and cost implications of zero and minimal liquid discharge desalination technologies</x:v>
      </x:c>
      <x:c r="D114" s="4"/>
      <x:c r="E114" s="4"/>
      <x:c r="F114" s="4"/>
      <x:c r="G114" s="4"/>
      <x:c r="H114" s="4"/>
      <x:c r="I114" s="4"/>
      <x:c r="J114" s="4"/>
      <x:c r="K114" s="4"/>
    </x:row>
    <x:row r="115" ht="46" customHeight="1">
      <x:c r="A115" s="1"/>
      <x:c r="B115" s="1"/>
      <x:c r="C115" s="4" t="str">
        <x:v>https://www.nature.com/articles/s44221-024-00327-1</x:v>
      </x:c>
      <x:c r="D115" s="4"/>
      <x:c r="E115" s="4"/>
      <x:c r="F115" s="4"/>
      <x:c r="G115" s="4"/>
      <x:c r="H115" s="4"/>
      <x:c r="I115" s="4"/>
      <x:c r="J115" s="4"/>
      <x:c r="K115" s="4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Equal-service integration validation with a conditional control question; prior-art references: N13, N14, N15, N24, S09, S20, S22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https://waterfromenergy.com/research-program.html#study-g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When do source interruption, hot sinks and real demand make heat-assisted recovery better or worse than conventional cooling plus water treatment?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61:K61"/>
    <x:mergeCell ref="C62:K62"/>
    <x:mergeCell ref="C64:K64"/>
    <x:mergeCell ref="C65:K65"/>
    <x:mergeCell ref="C66:K66"/>
    <x:mergeCell ref="C67:K67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76:K76"/>
    <x:mergeCell ref="C77:K77"/>
    <x:mergeCell ref="C78:K78"/>
    <x:mergeCell ref="C79:K79"/>
    <x:mergeCell ref="C80:K80"/>
    <x:mergeCell ref="C81:K81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10:K110"/>
    <x:mergeCell ref="C111:K111"/>
    <x:mergeCell ref="C112:K112"/>
    <x:mergeCell ref="C113:K113"/>
    <x:mergeCell ref="C114:K114"/>
    <x:mergeCell ref="C115:K115"/>
    <x:mergeCell ref="C121:K121"/>
    <x:mergeCell ref="C122:K122"/>
    <x:mergeCell ref="C123:K123"/>
    <x:mergeCell ref="C124:K124"/>
  </x:mergeCells>
  <x:conditionalFormatting sqref="I58:I58">
    <x:cfRule type="cellIs" dxfId="6" priority="1" operator="notEqual">
      <x:formula>0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126B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3" hidden="0" customWidth="1"/>
    <x:col min="4" max="4" width="13" hidden="0" customWidth="1"/>
    <x:col min="5" max="5" width="1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22" hidden="0" customWidth="1"/>
  </x:cols>
  <x:sheetData>
    <x:row r="1">
      <x:c r="A1" s="1"/>
      <x:c r="B1" s="1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1"/>
      <x:c r="B2" s="1"/>
      <x:c r="C2" s="3" t="str">
        <x:v>H • Collect water when heat and cooling are limited</x:v>
      </x:c>
      <x:c r="D2" s="2"/>
      <x:c r="E2" s="2"/>
      <x:c r="F2" s="2"/>
      <x:c r="G2" s="2"/>
      <x:c r="H2" s="2"/>
      <x:c r="I2" s="2"/>
      <x:c r="J2" s="2"/>
      <x:c r="K2" s="2"/>
    </x:row>
    <x:row r="3">
      <x:c r="A3" s="1"/>
      <x:c r="B3" s="1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"/>
      <x:c r="B4" s="1"/>
      <x:c r="C4" s="2" t="str">
        <x:v>Funded months</x:v>
      </x:c>
      <x:c r="D4" s="6" t="n">
        <x:v>18</x:v>
      </x:c>
      <x:c r="E4" s="2"/>
      <x:c r="F4" s="2"/>
      <x:c r="G4" s="2"/>
      <x:c r="H4" s="2"/>
      <x:c r="I4" s="2"/>
      <x:c r="J4" s="2"/>
      <x:c r="K4" s="2"/>
    </x:row>
    <x:row r="5" ht="64" customHeight="1">
      <x:c r="A5" s="1"/>
      <x:c r="B5" s="1"/>
      <x:c r="C5" s="4" t="str">
        <x:v>Nine independent beds and 54 chamber bed-days; six paired field units over two 14-day windows, totaling 168 unit-days; 222 principal water panels.</x:v>
      </x:c>
      <x:c r="D5" s="4"/>
      <x:c r="E5" s="4"/>
      <x:c r="F5" s="4"/>
      <x:c r="G5" s="4"/>
      <x:c r="H5" s="4"/>
      <x:c r="I5" s="4"/>
      <x:c r="J5" s="4"/>
      <x:c r="K5" s="4"/>
    </x:row>
    <x:row r="6">
      <x:c r="A6" s="1"/>
      <x:c r="B6" s="1"/>
      <x:c r="C6" s="2"/>
      <x:c r="D6" s="2"/>
      <x:c r="E6" s="2"/>
      <x:c r="F6" s="2"/>
      <x:c r="G6" s="2"/>
      <x:c r="H6" s="2"/>
      <x:c r="I6" s="2"/>
      <x:c r="J6" s="2"/>
      <x:c r="K6" s="2"/>
    </x:row>
    <x:row r="7" ht="32" customHeight="1">
      <x:c r="A7" s="1"/>
      <x:c r="B7" s="1"/>
      <x:c r="C7" s="9" t="str">
        <x:v>Team / role</x:v>
      </x:c>
      <x:c r="D7" s="9" t="str">
        <x:v>FTE</x:v>
      </x:c>
      <x:c r="E7" s="9" t="str">
        <x:v>Months</x:v>
      </x:c>
      <x:c r="F7" s="9" t="str">
        <x:v>Annual basis</x:v>
      </x:c>
      <x:c r="G7" s="9" t="str">
        <x:v>Active annual</x:v>
      </x:c>
      <x:c r="H7" s="9" t="str">
        <x:v>Gross salary</x:v>
      </x:c>
      <x:c r="I7" s="9" t="str">
        <x:v>Loaded cost</x:v>
      </x:c>
      <x:c r="J7" s="9" t="str">
        <x:v>Burden</x:v>
      </x:c>
      <x:c r="K7" s="9" t="str">
        <x:v>Basis</x:v>
      </x:c>
    </x:row>
    <x:row r="8">
      <x:c r="A8" s="1"/>
      <x:c r="B8" s="1"/>
      <x:c r="C8" s="2" t="str">
        <x:v>Principal investigator / senior scientific lead</x:v>
      </x:c>
      <x:c r="D8" s="26" t="n">
        <x:v>0.2</x:v>
      </x:c>
      <x:c r="E8" s="2" t="n">
        <x:f>IF(AND(ISNUMBER($D$4),$D$4&gt;0),$D$4,NA())</x:f>
        <x:v>18</x:v>
      </x:c>
      <x:c r="F8" s="18" t="n">
        <x:f>Inputs!F25</x:f>
        <x:v>162384</x:v>
      </x:c>
      <x:c r="G8" s="18" t="n">
        <x:f>F8*Inputs!D8</x:f>
        <x:v>162384</x:v>
      </x:c>
      <x:c r="H8" s="18" t="n">
        <x:f>IF(COUNT(D8:G8)=4,D8*G8/12*(MIN(E8,12)+MAX(E8-12,0)*(1+Inputs!D14)),NA())</x:f>
        <x:v>49202.352</x:v>
      </x:c>
      <x:c r="I8" s="17" t="n">
        <x:f>H8*(1+J8)</x:f>
        <x:v>65143.914048</x:v>
      </x:c>
      <x:c r="J8" s="19" t="n">
        <x:f>Inputs!D12</x:f>
        <x:v>0.324</x:v>
      </x:c>
      <x:c r="K8" s="2" t="str">
        <x:v>B02; B04</x:v>
      </x:c>
    </x:row>
    <x:row r="9">
      <x:c r="A9" s="1"/>
      <x:c r="B9" s="1"/>
      <x:c r="C9" s="2" t="str">
        <x:v>Primary research scientist</x:v>
      </x:c>
      <x:c r="D9" s="26" t="n">
        <x:v>1</x:v>
      </x:c>
      <x:c r="E9" s="2" t="n">
        <x:f>IF(AND(ISNUMBER($D$4),$D$4&gt;0),$D$4,NA())</x:f>
        <x:v>18</x:v>
      </x:c>
      <x:c r="F9" s="18" t="n">
        <x:f>Inputs!F26</x:f>
        <x:v>131886</x:v>
      </x:c>
      <x:c r="G9" s="18" t="n">
        <x:f>F9*Inputs!D8</x:f>
        <x:v>131886</x:v>
      </x:c>
      <x:c r="H9" s="18" t="n">
        <x:f>IF(COUNT(D9:G9)=4,D9*G9/12*(MIN(E9,12)+MAX(E9-12,0)*(1+Inputs!D14)),NA())</x:f>
        <x:v>199807.29</x:v>
      </x:c>
      <x:c r="I9" s="17" t="n">
        <x:f>H9*(1+J9)</x:f>
        <x:v>264544.85196</x:v>
      </x:c>
      <x:c r="J9" s="19" t="n">
        <x:f>Inputs!D12</x:f>
        <x:v>0.324</x:v>
      </x:c>
      <x:c r="K9" s="2" t="str">
        <x:v>B01; B04</x:v>
      </x:c>
    </x:row>
    <x:row r="10">
      <x:c r="A10" s="1"/>
      <x:c r="B10" s="1"/>
      <x:c r="C10" s="2" t="str">
        <x:v>Second research scientist</x:v>
      </x:c>
      <x:c r="D10" s="26" t="n">
        <x:v>0.5</x:v>
      </x:c>
      <x:c r="E10" s="2" t="n">
        <x:f>IF(AND(ISNUMBER($D$4),$D$4&gt;0),$D$4,NA())</x:f>
        <x:v>18</x:v>
      </x:c>
      <x:c r="F10" s="18" t="n">
        <x:f>Inputs!F27</x:f>
        <x:v>106428</x:v>
      </x:c>
      <x:c r="G10" s="18" t="n">
        <x:f>F10*Inputs!D8</x:f>
        <x:v>106428</x:v>
      </x:c>
      <x:c r="H10" s="18" t="n">
        <x:f>IF(COUNT(D10:G10)=4,D10*G10/12*(MIN(E10,12)+MAX(E10-12,0)*(1+Inputs!D14)),NA())</x:f>
        <x:v>80619.20999999999</x:v>
      </x:c>
      <x:c r="I10" s="17" t="n">
        <x:f>H10*(1+J10)</x:f>
        <x:v>106739.83404</x:v>
      </x:c>
      <x:c r="J10" s="19" t="n">
        <x:f>Inputs!D12</x:f>
        <x:v>0.324</x:v>
      </x:c>
      <x:c r="K10" s="2" t="str">
        <x:v>B01; B04</x:v>
      </x:c>
    </x:row>
    <x:row r="11">
      <x:c r="A11" s="1"/>
      <x:c r="B11" s="1"/>
      <x:c r="C11" s="2" t="str">
        <x:v>Research technician</x:v>
      </x:c>
      <x:c r="D11" s="26" t="n">
        <x:v>1</x:v>
      </x:c>
      <x:c r="E11" s="2" t="n">
        <x:f>IF(AND(ISNUMBER($D$4),$D$4&gt;0),$D$4,NA())</x:f>
        <x:v>18</x:v>
      </x:c>
      <x:c r="F11" s="18" t="n">
        <x:f>Inputs!F28</x:f>
        <x:v>57954</x:v>
      </x:c>
      <x:c r="G11" s="18" t="n">
        <x:f>F11*Inputs!D8</x:f>
        <x:v>57954</x:v>
      </x:c>
      <x:c r="H11" s="18" t="n">
        <x:f>IF(COUNT(D11:G11)=4,D11*G11/12*(MIN(E11,12)+MAX(E11-12,0)*(1+Inputs!D14)),NA())</x:f>
        <x:v>87800.31</x:v>
      </x:c>
      <x:c r="I11" s="17" t="n">
        <x:f>H11*(1+J11)</x:f>
        <x:v>120725.42624999999</x:v>
      </x:c>
      <x:c r="J11" s="19" t="n">
        <x:f>Inputs!D13</x:f>
        <x:v>0.375</x:v>
      </x:c>
      <x:c r="K11" s="2" t="str">
        <x:v>B03; B04</x:v>
      </x:c>
    </x:row>
    <x:row r="12">
      <x:c r="A12" s="1"/>
      <x:c r="B12" s="1"/>
      <x:c r="C12" s="2" t="str">
        <x:v>Statistician / independent QA</x:v>
      </x:c>
      <x:c r="D12" s="26" t="n">
        <x:v>0.15</x:v>
      </x:c>
      <x:c r="E12" s="2" t="n">
        <x:f>IF(AND(ISNUMBER($D$4),$D$4&gt;0),$D$4,NA())</x:f>
        <x:v>18</x:v>
      </x:c>
      <x:c r="F12" s="18" t="n">
        <x:f>Inputs!F29</x:f>
        <x:v>104958</x:v>
      </x:c>
      <x:c r="G12" s="18" t="n">
        <x:f>F12*Inputs!D8</x:f>
        <x:v>104958</x:v>
      </x:c>
      <x:c r="H12" s="18" t="n">
        <x:f>IF(COUNT(D12:G12)=4,D12*G12/12*(MIN(E12,12)+MAX(E12-12,0)*(1+Inputs!D14)),NA())</x:f>
        <x:v>23851.705499999996</x:v>
      </x:c>
      <x:c r="I12" s="17" t="n">
        <x:f>H12*(1+J12)</x:f>
        <x:v>31579.658081999998</x:v>
      </x:c>
      <x:c r="J12" s="19" t="n">
        <x:f>Inputs!D12</x:f>
        <x:v>0.324</x:v>
      </x:c>
      <x:c r="K12" s="2" t="str">
        <x:v>B01; B04</x:v>
      </x:c>
    </x:row>
    <x:row r="13">
      <x:c r="A13" s="1"/>
      <x:c r="B13" s="1"/>
      <x:c r="C13" s="2" t="str">
        <x:v>Daniel: project coordination</x:v>
      </x:c>
      <x:c r="D13" s="26" t="n">
        <x:v>1</x:v>
      </x:c>
      <x:c r="E13" s="2" t="n">
        <x:f>IF(AND(ISNUMBER($D$4),$D$4&gt;0),$D$4,NA())</x:f>
        <x:v>18</x:v>
      </x:c>
      <x:c r="F13" s="18" t="n">
        <x:f>Inputs!F30</x:f>
        <x:v>135200</x:v>
      </x:c>
      <x:c r="G13" s="17" t="n">
        <x:f>F13</x:f>
        <x:v>135200</x:v>
      </x:c>
      <x:c r="H13" s="17" t="n">
        <x:f>IF(COUNT(D13:G13)=4,D13*G13/12*(MIN(E13,12)+MAX(E13-12,0)),NA())</x:f>
        <x:v>202800</x:v>
      </x:c>
      <x:c r="I13" s="17" t="n">
        <x:f>H13*(1+J13)</x:f>
        <x:v>268507.2</x:v>
      </x:c>
      <x:c r="J13" s="19" t="n">
        <x:f>Inputs!D12</x:f>
        <x:v>0.324</x:v>
      </x:c>
      <x:c r="K13" s="2" t="str">
        <x:v>P-COST; B04</x:v>
      </x:c>
    </x:row>
    <x:row r="14">
      <x:c r="A14" s="1"/>
      <x:c r="B14" s="1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1"/>
      <x:c r="B15" s="1"/>
      <x:c r="C15" s="2" t="str">
        <x:v>Total people, with employer burden</x:v>
      </x:c>
      <x:c r="D15" s="2"/>
      <x:c r="E15" s="2"/>
      <x:c r="F15" s="2"/>
      <x:c r="G15" s="2"/>
      <x:c r="H15" s="2"/>
      <x:c r="I15" s="17" t="n">
        <x:f>SUM(I8:I13)</x:f>
        <x:v>857240.88438</x:v>
      </x:c>
      <x:c r="J15" s="2"/>
      <x:c r="K15" s="2"/>
    </x:row>
    <x:row r="16">
      <x:c r="A16" s="1"/>
      <x:c r="B16" s="1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2" customHeight="1">
      <x:c r="A17" s="1"/>
      <x:c r="B17" s="1"/>
      <x:c r="C17" s="9" t="str">
        <x:v>Analytical sampling</x:v>
      </x:c>
      <x:c r="D17" s="9" t="str">
        <x:v>Count</x:v>
      </x:c>
      <x:c r="E17" s="9" t="str"/>
      <x:c r="F17" s="9" t="str"/>
      <x:c r="G17" s="9" t="str"/>
      <x:c r="H17" s="9" t="str"/>
      <x:c r="I17" s="9" t="str"/>
      <x:c r="J17" s="9" t="str"/>
      <x:c r="K17" s="9" t="str">
        <x:v>Quantity basis</x:v>
      </x:c>
    </x:row>
    <x:row r="18">
      <x:c r="A18" s="1"/>
      <x:c r="B18" s="1"/>
      <x:c r="C18" s="2" t="str">
        <x:v>Principal panels</x:v>
      </x:c>
      <x:c r="D18" s="27" t="n">
        <x:v>222</x:v>
      </x:c>
      <x:c r="E18" s="2"/>
      <x:c r="F18" s="2"/>
      <x:c r="G18" s="2"/>
      <x:c r="H18" s="2"/>
      <x:c r="I18" s="2"/>
      <x:c r="J18" s="2"/>
      <x:c r="K18" s="2" t="str">
        <x:v>Protocol / costing plan</x:v>
      </x:c>
    </x:row>
    <x:row r="19">
      <x:c r="A19" s="1"/>
      <x:c r="B19" s="1"/>
      <x:c r="C19" s="2" t="str">
        <x:v>Commissioning / qualification panels</x:v>
      </x:c>
      <x:c r="D19" s="27" t="n">
        <x:v>36</x:v>
      </x:c>
      <x:c r="E19" s="2"/>
      <x:c r="F19" s="2"/>
      <x:c r="G19" s="2"/>
      <x:c r="H19" s="2"/>
      <x:c r="I19" s="2"/>
      <x:c r="J19" s="2"/>
      <x:c r="K19" s="2" t="str">
        <x:v>Added planning allowance</x:v>
      </x:c>
    </x:row>
    <x:row r="20">
      <x:c r="A20" s="1"/>
      <x:c r="B20" s="1"/>
      <x:c r="C20" s="2" t="str">
        <x:v>Independent blind panels</x:v>
      </x:c>
      <x:c r="D20" s="27" t="n">
        <x:v>24</x:v>
      </x:c>
      <x:c r="E20" s="2"/>
      <x:c r="F20" s="2"/>
      <x:c r="G20" s="2"/>
      <x:c r="H20" s="2"/>
      <x:c r="I20" s="2"/>
      <x:c r="J20" s="2"/>
      <x:c r="K20" s="2" t="str">
        <x:v>Added planning allowance</x:v>
      </x:c>
    </x:row>
    <x:row r="21">
      <x:c r="A21" s="1"/>
      <x:c r="B21" s="1"/>
      <x:c r="C21" s="2" t="str">
        <x:v>Extra QC panels (rounded up)</x:v>
      </x:c>
      <x:c r="D21" s="28" t="n">
        <x:f>IF(COUNT(D18:D20)=3,ROUNDUP(SUM(D18:D20)*Inputs!D11,0),NA())</x:f>
        <x:v>43</x:v>
      </x:c>
      <x:c r="E21" s="2"/>
      <x:c r="F21" s="2"/>
      <x:c r="G21" s="2"/>
      <x:c r="H21" s="2"/>
      <x:c r="I21" s="2"/>
      <x:c r="J21" s="2"/>
      <x:c r="K21" s="2"/>
    </x:row>
    <x:row r="22">
      <x:c r="A22" s="1"/>
      <x:c r="B22" s="1"/>
      <x:c r="C22" s="2" t="str">
        <x:v>Total charged panel equivalents</x:v>
      </x:c>
      <x:c r="D22" s="29" t="n">
        <x:f>SUM(D18:D21)</x:f>
        <x:v>325</x:v>
      </x:c>
      <x:c r="E22" s="2"/>
      <x:c r="F22" s="2"/>
      <x:c r="G22" s="2"/>
      <x:c r="H22" s="2"/>
      <x:c r="I22" s="2"/>
      <x:c r="J22" s="2"/>
      <x:c r="K22" s="2"/>
    </x:row>
    <x:row r="23">
      <x:c r="A23" s="1"/>
      <x:c r="B23" s="1"/>
      <x:c r="C23" s="2"/>
      <x:c r="D23" s="2"/>
      <x:c r="E23" s="2"/>
      <x:c r="F23" s="2"/>
      <x:c r="G23" s="2"/>
      <x:c r="H23" s="2"/>
      <x:c r="I23" s="2"/>
      <x:c r="J23" s="2"/>
      <x:c r="K23" s="2"/>
    </x:row>
    <x:row r="24">
      <x:c r="A24" s="1"/>
      <x:c r="B24" s="1"/>
      <x:c r="C24" s="2" t="str">
        <x:v>Analytical cost</x:v>
      </x:c>
      <x:c r="D24" s="2"/>
      <x:c r="E24" s="2"/>
      <x:c r="F24" s="18" t="n">
        <x:f>Inputs!D42</x:f>
        <x:v>245</x:v>
      </x:c>
      <x:c r="G24" s="18" t="n">
        <x:f>F24*Inputs!D10</x:f>
        <x:v>245</x:v>
      </x:c>
      <x:c r="H24" s="17"/>
      <x:c r="I24" s="17" t="n">
        <x:f>D22*G24</x:f>
        <x:v>79625</x:v>
      </x:c>
      <x:c r="J24" s="2"/>
      <x:c r="K24" s="2"/>
    </x:row>
    <x:row r="25">
      <x:c r="A25" s="1"/>
      <x:c r="B25" s="1"/>
      <x:c r="C25" s="2"/>
      <x:c r="D25" s="2"/>
      <x:c r="E25" s="2"/>
      <x:c r="F25" s="2"/>
      <x:c r="G25" s="2"/>
      <x:c r="H25" s="2"/>
      <x:c r="I25" s="2"/>
      <x:c r="J25" s="2"/>
      <x:c r="K25" s="2"/>
    </x:row>
    <x:row r="26">
      <x:c r="A26" s="1"/>
      <x:c r="B26" s="1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1"/>
      <x:c r="B27" s="1"/>
      <x:c r="C27" s="9" t="str">
        <x:v>Apparatus / services / supplies</x:v>
      </x:c>
      <x:c r="D27" s="9" t="str">
        <x:v>Quantity</x:v>
      </x:c>
      <x:c r="E27" s="9" t="str">
        <x:v>Kind</x:v>
      </x:c>
      <x:c r="F27" s="9" t="str">
        <x:v>Base unit $</x:v>
      </x:c>
      <x:c r="G27" s="9" t="str">
        <x:v>Active unit $</x:v>
      </x:c>
      <x:c r="H27" s="9" t="str">
        <x:v>Landed unit $</x:v>
      </x:c>
      <x:c r="I27" s="9" t="str">
        <x:v>Line total $</x:v>
      </x:c>
      <x:c r="J27" s="9" t="str">
        <x:v>MTDC excluded</x:v>
      </x:c>
      <x:c r="K27" s="9" t="str">
        <x:v>Basis</x:v>
      </x:c>
    </x:row>
    <x:row r="28" ht="30" customHeight="1">
      <x:c r="A28" s="1"/>
      <x:c r="B28" s="1"/>
      <x:c r="C28" s="4" t="str">
        <x:v>Environmental chamber</x:v>
      </x:c>
      <x:c r="D28" s="20" t="n">
        <x:v>1</x:v>
      </x:c>
      <x:c r="E28" s="20" t="str">
        <x:v>equipment</x:v>
      </x:c>
      <x:c r="F28" s="21" t="n">
        <x:v>35000</x:v>
      </x:c>
      <x:c r="G28" s="22" t="n">
        <x:f>IF(COUNT(F28)=1,F28*IF(E28="equipment",Inputs!D9,Inputs!D10),NA())</x:f>
        <x:v>35000</x:v>
      </x:c>
      <x:c r="H28" s="22" t="n">
        <x:f>G28*IF(OR(E28="equipment",E28="goods"),(1+Inputs!D18)*(1+Inputs!D17),1)</x:f>
        <x:v>40627.12499999999</x:v>
      </x:c>
      <x:c r="I28" s="23" t="n">
        <x:f>IF(COUNT(D28)=1,D28*H28,NA())</x:f>
        <x:v>40627.12499999999</x:v>
      </x:c>
      <x:c r="J28" s="23" t="n">
        <x:f>IF(AND(E28="equipment",H28&gt;=5000),I28,0)</x:f>
        <x:v>40627.12499999999</x:v>
      </x:c>
      <x:c r="K28" s="4" t="str">
        <x:v>B09; P-COST</x:v>
      </x:c>
    </x:row>
    <x:row r="29" ht="30" customHeight="1">
      <x:c r="A29" s="1"/>
      <x:c r="B29" s="1"/>
      <x:c r="C29" s="4" t="str">
        <x:v>Chamber dry-air / flow conditioning assembly</x:v>
      </x:c>
      <x:c r="D29" s="20" t="n">
        <x:v>1</x:v>
      </x:c>
      <x:c r="E29" s="20" t="str">
        <x:v>equipment</x:v>
      </x:c>
      <x:c r="F29" s="21" t="n">
        <x:v>15000</x:v>
      </x:c>
      <x:c r="G29" s="22" t="n">
        <x:f>IF(COUNT(F29)=1,F29*IF(E29="equipment",Inputs!D9,Inputs!D10),NA())</x:f>
        <x:v>15000</x:v>
      </x:c>
      <x:c r="H29" s="22" t="n">
        <x:f>G29*IF(OR(E29="equipment",E29="goods"),(1+Inputs!D18)*(1+Inputs!D17),1)</x:f>
        <x:v>17411.625</x:v>
      </x:c>
      <x:c r="I29" s="23" t="n">
        <x:f>IF(COUNT(D29)=1,D29*H29,NA())</x:f>
        <x:v>17411.625</x:v>
      </x:c>
      <x:c r="J29" s="23" t="n">
        <x:f>IF(AND(E29="equipment",H29&gt;=5000),I29,0)</x:f>
        <x:v>17411.625</x:v>
      </x:c>
      <x:c r="K29" s="4" t="str">
        <x:v>P-COST</x:v>
      </x:c>
    </x:row>
    <x:row r="30" ht="30" customHeight="1">
      <x:c r="A30" s="1"/>
      <x:c r="B30" s="1"/>
      <x:c r="C30" s="4" t="str">
        <x:v>Independent laboratory beds</x:v>
      </x:c>
      <x:c r="D30" s="20" t="n">
        <x:v>9</x:v>
      </x:c>
      <x:c r="E30" s="20" t="str">
        <x:v>equipment</x:v>
      </x:c>
      <x:c r="F30" s="21" t="n">
        <x:v>1200</x:v>
      </x:c>
      <x:c r="G30" s="22" t="n">
        <x:f>IF(COUNT(F30)=1,F30*IF(E30="equipment",Inputs!D9,Inputs!D10),NA())</x:f>
        <x:v>1200</x:v>
      </x:c>
      <x:c r="H30" s="22" t="n">
        <x:f>G30*IF(OR(E30="equipment",E30="goods"),(1+Inputs!D18)*(1+Inputs!D17),1)</x:f>
        <x:v>1392.9299999999998</x:v>
      </x:c>
      <x:c r="I30" s="23" t="n">
        <x:f>IF(COUNT(D30)=1,D30*H30,NA())</x:f>
        <x:v>12536.369999999999</x:v>
      </x:c>
      <x:c r="J30" s="23" t="n">
        <x:f>IF(AND(E30="equipment",H30&gt;=5000),I30,0)</x:f>
        <x:v>0</x:v>
      </x:c>
      <x:c r="K30" s="4" t="str">
        <x:v>P-COST</x:v>
      </x:c>
    </x:row>
    <x:row r="31" ht="30" customHeight="1">
      <x:c r="A31" s="1"/>
      <x:c r="B31" s="1"/>
      <x:c r="C31" s="4" t="str">
        <x:v>Matched field units</x:v>
      </x:c>
      <x:c r="D31" s="20" t="n">
        <x:v>6</x:v>
      </x:c>
      <x:c r="E31" s="20" t="str">
        <x:v>equipment</x:v>
      </x:c>
      <x:c r="F31" s="21" t="n">
        <x:v>4500</x:v>
      </x:c>
      <x:c r="G31" s="22" t="n">
        <x:f>IF(COUNT(F31)=1,F31*IF(E31="equipment",Inputs!D9,Inputs!D10),NA())</x:f>
        <x:v>4500</x:v>
      </x:c>
      <x:c r="H31" s="22" t="n">
        <x:f>G31*IF(OR(E31="equipment",E31="goods"),(1+Inputs!D18)*(1+Inputs!D17),1)</x:f>
        <x:v>5223.487499999999</x:v>
      </x:c>
      <x:c r="I31" s="23" t="n">
        <x:f>IF(COUNT(D31)=1,D31*H31,NA())</x:f>
        <x:v>31340.924999999996</x:v>
      </x:c>
      <x:c r="J31" s="23" t="n">
        <x:f>IF(AND(E31="equipment",H31&gt;=5000),I31,0)</x:f>
        <x:v>31340.924999999996</x:v>
      </x:c>
      <x:c r="K31" s="4" t="str">
        <x:v>P-COST</x:v>
      </x:c>
    </x:row>
    <x:row r="32" ht="30" customHeight="1">
      <x:c r="A32" s="1"/>
      <x:c r="B32" s="1"/>
      <x:c r="C32" s="4" t="str">
        <x:v>Continuous-rated thermal source / condenser bank</x:v>
      </x:c>
      <x:c r="D32" s="20" t="n">
        <x:v>1</x:v>
      </x:c>
      <x:c r="E32" s="20" t="str">
        <x:v>equipment</x:v>
      </x:c>
      <x:c r="F32" s="21" t="n">
        <x:v>22000</x:v>
      </x:c>
      <x:c r="G32" s="22" t="n">
        <x:f>IF(COUNT(F32)=1,F32*IF(E32="equipment",Inputs!D9,Inputs!D10),NA())</x:f>
        <x:v>22000</x:v>
      </x:c>
      <x:c r="H32" s="22" t="n">
        <x:f>G32*IF(OR(E32="equipment",E32="goods"),(1+Inputs!D18)*(1+Inputs!D17),1)</x:f>
        <x:v>25537.05</x:v>
      </x:c>
      <x:c r="I32" s="23" t="n">
        <x:f>IF(COUNT(D32)=1,D32*H32,NA())</x:f>
        <x:v>25537.05</x:v>
      </x:c>
      <x:c r="J32" s="23" t="n">
        <x:f>IF(AND(E32="equipment",H32&gt;=5000),I32,0)</x:f>
        <x:v>25537.05</x:v>
      </x:c>
      <x:c r="K32" s="4" t="str">
        <x:v>B08; P-COST</x:v>
      </x:c>
    </x:row>
    <x:row r="33" ht="30" customHeight="1">
      <x:c r="A33" s="1"/>
      <x:c r="B33" s="1"/>
      <x:c r="C33" s="4" t="str">
        <x:v>Humidity, flow and gravimetric DAQ assembly</x:v>
      </x:c>
      <x:c r="D33" s="20" t="n">
        <x:v>1</x:v>
      </x:c>
      <x:c r="E33" s="20" t="str">
        <x:v>equipment</x:v>
      </x:c>
      <x:c r="F33" s="21" t="n">
        <x:v>18000</x:v>
      </x:c>
      <x:c r="G33" s="22" t="n">
        <x:f>IF(COUNT(F33)=1,F33*IF(E33="equipment",Inputs!D9,Inputs!D10),NA())</x:f>
        <x:v>18000</x:v>
      </x:c>
      <x:c r="H33" s="22" t="n">
        <x:f>G33*IF(OR(E33="equipment",E33="goods"),(1+Inputs!D18)*(1+Inputs!D17),1)</x:f>
        <x:v>20893.949999999997</x:v>
      </x:c>
      <x:c r="I33" s="23" t="n">
        <x:f>IF(COUNT(D33)=1,D33*H33,NA())</x:f>
        <x:v>20893.949999999997</x:v>
      </x:c>
      <x:c r="J33" s="23" t="n">
        <x:f>IF(AND(E33="equipment",H33&gt;=5000),I33,0)</x:f>
        <x:v>20893.949999999997</x:v>
      </x:c>
      <x:c r="K33" s="4" t="str">
        <x:v>P-COST</x:v>
      </x:c>
    </x:row>
    <x:row r="34" ht="30" customHeight="1">
      <x:c r="A34" s="1"/>
      <x:c r="B34" s="1"/>
      <x:c r="C34" s="4" t="str">
        <x:v>Adsorbent qualification lots</x:v>
      </x:c>
      <x:c r="D34" s="20" t="n">
        <x:v>3</x:v>
      </x:c>
      <x:c r="E34" s="20" t="str">
        <x:v>goods</x:v>
      </x:c>
      <x:c r="F34" s="21" t="n">
        <x:v>2000</x:v>
      </x:c>
      <x:c r="G34" s="22" t="n">
        <x:f>IF(COUNT(F34)=1,F34*IF(E34="equipment",Inputs!D9,Inputs!D10),NA())</x:f>
        <x:v>2000</x:v>
      </x:c>
      <x:c r="H34" s="22" t="n">
        <x:f>G34*IF(OR(E34="equipment",E34="goods"),(1+Inputs!D18)*(1+Inputs!D17),1)</x:f>
        <x:v>2321.5499999999997</x:v>
      </x:c>
      <x:c r="I34" s="23" t="n">
        <x:f>IF(COUNT(D34)=1,D34*H34,NA())</x:f>
        <x:v>6964.65</x:v>
      </x:c>
      <x:c r="J34" s="23" t="n">
        <x:f>IF(AND(E34="equipment",H34&gt;=5000),I34,0)</x:f>
        <x:v>0</x:v>
      </x:c>
      <x:c r="K34" s="4" t="str">
        <x:v>P-COST</x:v>
      </x:c>
    </x:row>
    <x:row r="35" ht="30" customHeight="1">
      <x:c r="A35" s="1"/>
      <x:c r="B35" s="1"/>
      <x:c r="C35" s="4" t="str">
        <x:v>Laboratory / field water-contact consumables</x:v>
      </x:c>
      <x:c r="D35" s="20" t="n">
        <x:v>222</x:v>
      </x:c>
      <x:c r="E35" s="20" t="str">
        <x:v>goods</x:v>
      </x:c>
      <x:c r="F35" s="21" t="n">
        <x:v>70</x:v>
      </x:c>
      <x:c r="G35" s="22" t="n">
        <x:f>IF(COUNT(F35)=1,F35*IF(E35="equipment",Inputs!D9,Inputs!D10),NA())</x:f>
        <x:v>70</x:v>
      </x:c>
      <x:c r="H35" s="22" t="n">
        <x:f>G35*IF(OR(E35="equipment",E35="goods"),(1+Inputs!D18)*(1+Inputs!D17),1)</x:f>
        <x:v>81.25425</x:v>
      </x:c>
      <x:c r="I35" s="23" t="n">
        <x:f>IF(COUNT(D35)=1,D35*H35,NA())</x:f>
        <x:v>18038.4435</x:v>
      </x:c>
      <x:c r="J35" s="23" t="n">
        <x:f>IF(AND(E35="equipment",H35&gt;=5000),I35,0)</x:f>
        <x:v>0</x:v>
      </x:c>
      <x:c r="K35" s="4" t="str">
        <x:v>P-COST</x:v>
      </x:c>
    </x:row>
    <x:row r="36" ht="30" customHeight="1">
      <x:c r="A36" s="1"/>
      <x:c r="B36" s="1"/>
      <x:c r="C36" s="4" t="str">
        <x:v>100-cycle endurance-screen consumables</x:v>
      </x:c>
      <x:c r="D36" s="20" t="n">
        <x:v>100</x:v>
      </x:c>
      <x:c r="E36" s="20" t="str">
        <x:v>goods</x:v>
      </x:c>
      <x:c r="F36" s="21" t="n">
        <x:v>40</x:v>
      </x:c>
      <x:c r="G36" s="22" t="n">
        <x:f>IF(COUNT(F36)=1,F36*IF(E36="equipment",Inputs!D9,Inputs!D10),NA())</x:f>
        <x:v>40</x:v>
      </x:c>
      <x:c r="H36" s="22" t="n">
        <x:f>G36*IF(OR(E36="equipment",E36="goods"),(1+Inputs!D18)*(1+Inputs!D17),1)</x:f>
        <x:v>46.431</x:v>
      </x:c>
      <x:c r="I36" s="23" t="n">
        <x:f>IF(COUNT(D36)=1,D36*H36,NA())</x:f>
        <x:v>4643.099999999999</x:v>
      </x:c>
      <x:c r="J36" s="23" t="n">
        <x:f>IF(AND(E36="equipment",H36&gt;=5000),I36,0)</x:f>
        <x:v>0</x:v>
      </x:c>
      <x:c r="K36" s="4" t="str">
        <x:v>P-COST</x:v>
      </x:c>
    </x:row>
    <x:row r="37" ht="30" customHeight="1">
      <x:c r="A37" s="1"/>
      <x:c r="B37" s="1"/>
      <x:c r="C37" s="4" t="str">
        <x:v>Sorbent leaching / carryover method qualification</x:v>
      </x:c>
      <x:c r="D37" s="20" t="n">
        <x:v>50</x:v>
      </x:c>
      <x:c r="E37" s="20" t="str">
        <x:v>service</x:v>
      </x:c>
      <x:c r="F37" s="21" t="n">
        <x:v>150</x:v>
      </x:c>
      <x:c r="G37" s="22" t="n">
        <x:f>IF(COUNT(F37)=1,F37*IF(E37="equipment",Inputs!D9,Inputs!D10),NA())</x:f>
        <x:v>150</x:v>
      </x:c>
      <x:c r="H37" s="22" t="n">
        <x:f>G37*IF(OR(E37="equipment",E37="goods"),(1+Inputs!D18)*(1+Inputs!D17),1)</x:f>
        <x:v>150</x:v>
      </x:c>
      <x:c r="I37" s="23" t="n">
        <x:f>IF(COUNT(D37)=1,D37*H37,NA())</x:f>
        <x:v>7500</x:v>
      </x:c>
      <x:c r="J37" s="23" t="n">
        <x:f>IF(AND(E37="equipment",H37&gt;=5000),I37,0)</x:f>
        <x:v>0</x:v>
      </x:c>
      <x:c r="K37" s="4" t="str">
        <x:v>P-COST</x:v>
      </x:c>
    </x:row>
    <x:row r="38" ht="30" customHeight="1">
      <x:c r="A38" s="1"/>
      <x:c r="B38" s="1"/>
      <x:c r="C38" s="4" t="str">
        <x:v>Targeted organic / particle analytical package</x:v>
      </x:c>
      <x:c r="D38" s="20" t="n">
        <x:v>24</x:v>
      </x:c>
      <x:c r="E38" s="20" t="str">
        <x:v>service</x:v>
      </x:c>
      <x:c r="F38" s="21" t="n">
        <x:v>250</x:v>
      </x:c>
      <x:c r="G38" s="22" t="n">
        <x:f>IF(COUNT(F38)=1,F38*IF(E38="equipment",Inputs!D9,Inputs!D10),NA())</x:f>
        <x:v>250</x:v>
      </x:c>
      <x:c r="H38" s="22" t="n">
        <x:f>G38*IF(OR(E38="equipment",E38="goods"),(1+Inputs!D18)*(1+Inputs!D17),1)</x:f>
        <x:v>250</x:v>
      </x:c>
      <x:c r="I38" s="23" t="n">
        <x:f>IF(COUNT(D38)=1,D38*H38,NA())</x:f>
        <x:v>6000</x:v>
      </x:c>
      <x:c r="J38" s="23" t="n">
        <x:f>IF(AND(E38="equipment",H38&gt;=5000),I38,0)</x:f>
        <x:v>0</x:v>
      </x:c>
      <x:c r="K38" s="4" t="str">
        <x:v>P-COST</x:v>
      </x:c>
    </x:row>
    <x:row r="39" ht="30" customHeight="1">
      <x:c r="A39" s="1"/>
      <x:c r="B39" s="1"/>
      <x:c r="C39" s="4" t="str">
        <x:v>Microbiological screening</x:v>
      </x:c>
      <x:c r="D39" s="20" t="n">
        <x:v>60</x:v>
      </x:c>
      <x:c r="E39" s="20" t="str">
        <x:v>service</x:v>
      </x:c>
      <x:c r="F39" s="21" t="n">
        <x:v>60</x:v>
      </x:c>
      <x:c r="G39" s="22" t="n">
        <x:f>IF(COUNT(F39)=1,F39*IF(E39="equipment",Inputs!D9,Inputs!D10),NA())</x:f>
        <x:v>60</x:v>
      </x:c>
      <x:c r="H39" s="22" t="n">
        <x:f>G39*IF(OR(E39="equipment",E39="goods"),(1+Inputs!D18)*(1+Inputs!D17),1)</x:f>
        <x:v>60</x:v>
      </x:c>
      <x:c r="I39" s="23" t="n">
        <x:f>IF(COUNT(D39)=1,D39*H39,NA())</x:f>
        <x:v>3600</x:v>
      </x:c>
      <x:c r="J39" s="23" t="n">
        <x:f>IF(AND(E39="equipment",H39&gt;=5000),I39,0)</x:f>
        <x:v>0</x:v>
      </x:c>
      <x:c r="K39" s="4" t="str">
        <x:v>P-COST</x:v>
      </x:c>
    </x:row>
    <x:row r="40" ht="30" customHeight="1">
      <x:c r="A40" s="1"/>
      <x:c r="B40" s="1"/>
      <x:c r="C40" s="4" t="str">
        <x:v>Field travel: airfare</x:v>
      </x:c>
      <x:c r="D40" s="20" t="n">
        <x:v>4</x:v>
      </x:c>
      <x:c r="E40" s="20" t="str">
        <x:v>service</x:v>
      </x:c>
      <x:c r="F40" s="21" t="n">
        <x:v>500</x:v>
      </x:c>
      <x:c r="G40" s="22" t="n">
        <x:f>IF(COUNT(F40)=1,F40*IF(E40="equipment",Inputs!D9,Inputs!D10),NA())</x:f>
        <x:v>500</x:v>
      </x:c>
      <x:c r="H40" s="22" t="n">
        <x:f>G40*IF(OR(E40="equipment",E40="goods"),(1+Inputs!D18)*(1+Inputs!D17),1)</x:f>
        <x:v>500</x:v>
      </x:c>
      <x:c r="I40" s="23" t="n">
        <x:f>IF(COUNT(D40)=1,D40*H40,NA())</x:f>
        <x:v>2000</x:v>
      </x:c>
      <x:c r="J40" s="23" t="n">
        <x:f>IF(AND(E40="equipment",H40&gt;=5000),I40,0)</x:f>
        <x:v>0</x:v>
      </x:c>
      <x:c r="K40" s="4" t="str">
        <x:v>P-COST</x:v>
      </x:c>
    </x:row>
    <x:row r="41" ht="30" customHeight="1">
      <x:c r="A41" s="1"/>
      <x:c r="B41" s="1"/>
      <x:c r="C41" s="4" t="str">
        <x:v>Field travel: lodging</x:v>
      </x:c>
      <x:c r="D41" s="20" t="n">
        <x:v>56</x:v>
      </x:c>
      <x:c r="E41" s="20" t="str">
        <x:v>service</x:v>
      </x:c>
      <x:c r="F41" s="21" t="n">
        <x:v>180</x:v>
      </x:c>
      <x:c r="G41" s="22" t="n">
        <x:f>IF(COUNT(F41)=1,F41*IF(E41="equipment",Inputs!D9,Inputs!D10),NA())</x:f>
        <x:v>180</x:v>
      </x:c>
      <x:c r="H41" s="22" t="n">
        <x:f>G41*IF(OR(E41="equipment",E41="goods"),(1+Inputs!D18)*(1+Inputs!D17),1)</x:f>
        <x:v>180</x:v>
      </x:c>
      <x:c r="I41" s="23" t="n">
        <x:f>IF(COUNT(D41)=1,D41*H41,NA())</x:f>
        <x:v>10080</x:v>
      </x:c>
      <x:c r="J41" s="23" t="n">
        <x:f>IF(AND(E41="equipment",H41&gt;=5000),I41,0)</x:f>
        <x:v>0</x:v>
      </x:c>
      <x:c r="K41" s="4" t="str">
        <x:v>P-COST</x:v>
      </x:c>
    </x:row>
    <x:row r="42" ht="30" customHeight="1">
      <x:c r="A42" s="1"/>
      <x:c r="B42" s="1"/>
      <x:c r="C42" s="4" t="str">
        <x:v>Field travel: meals / incidental</x:v>
      </x:c>
      <x:c r="D42" s="20" t="n">
        <x:v>56</x:v>
      </x:c>
      <x:c r="E42" s="20" t="str">
        <x:v>service</x:v>
      </x:c>
      <x:c r="F42" s="21" t="n">
        <x:v>75</x:v>
      </x:c>
      <x:c r="G42" s="22" t="n">
        <x:f>IF(COUNT(F42)=1,F42*IF(E42="equipment",Inputs!D9,Inputs!D10),NA())</x:f>
        <x:v>75</x:v>
      </x:c>
      <x:c r="H42" s="22" t="n">
        <x:f>G42*IF(OR(E42="equipment",E42="goods"),(1+Inputs!D18)*(1+Inputs!D17),1)</x:f>
        <x:v>75</x:v>
      </x:c>
      <x:c r="I42" s="23" t="n">
        <x:f>IF(COUNT(D42)=1,D42*H42,NA())</x:f>
        <x:v>4200</x:v>
      </x:c>
      <x:c r="J42" s="23" t="n">
        <x:f>IF(AND(E42="equipment",H42&gt;=5000),I42,0)</x:f>
        <x:v>0</x:v>
      </x:c>
      <x:c r="K42" s="4" t="str">
        <x:v>P-COST</x:v>
      </x:c>
    </x:row>
    <x:row r="43" ht="30" customHeight="1">
      <x:c r="A43" s="1"/>
      <x:c r="B43" s="1"/>
      <x:c r="C43" s="4" t="str">
        <x:v>Field transport</x:v>
      </x:c>
      <x:c r="D43" s="20" t="n">
        <x:v>28</x:v>
      </x:c>
      <x:c r="E43" s="20" t="str">
        <x:v>service</x:v>
      </x:c>
      <x:c r="F43" s="21" t="n">
        <x:v>100</x:v>
      </x:c>
      <x:c r="G43" s="22" t="n">
        <x:f>IF(COUNT(F43)=1,F43*IF(E43="equipment",Inputs!D9,Inputs!D10),NA())</x:f>
        <x:v>100</x:v>
      </x:c>
      <x:c r="H43" s="22" t="n">
        <x:f>G43*IF(OR(E43="equipment",E43="goods"),(1+Inputs!D18)*(1+Inputs!D17),1)</x:f>
        <x:v>100</x:v>
      </x:c>
      <x:c r="I43" s="23" t="n">
        <x:f>IF(COUNT(D43)=1,D43*H43,NA())</x:f>
        <x:v>2800</x:v>
      </x:c>
      <x:c r="J43" s="23" t="n">
        <x:f>IF(AND(E43="equipment",H43&gt;=5000),I43,0)</x:f>
        <x:v>0</x:v>
      </x:c>
      <x:c r="K43" s="4" t="str">
        <x:v>P-COST</x:v>
      </x:c>
    </x:row>
    <x:row r="44" ht="30" customHeight="1">
      <x:c r="A44" s="1"/>
      <x:c r="B44" s="1"/>
      <x:c r="C44" s="4" t="str">
        <x:v>Local field operation / access support</x:v>
      </x:c>
      <x:c r="D44" s="20" t="n">
        <x:v>28</x:v>
      </x:c>
      <x:c r="E44" s="20" t="str">
        <x:v>service</x:v>
      </x:c>
      <x:c r="F44" s="21" t="n">
        <x:v>300</x:v>
      </x:c>
      <x:c r="G44" s="22" t="n">
        <x:f>IF(COUNT(F44)=1,F44*IF(E44="equipment",Inputs!D9,Inputs!D10),NA())</x:f>
        <x:v>300</x:v>
      </x:c>
      <x:c r="H44" s="22" t="n">
        <x:f>G44*IF(OR(E44="equipment",E44="goods"),(1+Inputs!D18)*(1+Inputs!D17),1)</x:f>
        <x:v>300</x:v>
      </x:c>
      <x:c r="I44" s="23" t="n">
        <x:f>IF(COUNT(D44)=1,D44*H44,NA())</x:f>
        <x:v>8400</x:v>
      </x:c>
      <x:c r="J44" s="23" t="n">
        <x:f>IF(AND(E44="equipment",H44&gt;=5000),I44,0)</x:f>
        <x:v>0</x:v>
      </x:c>
      <x:c r="K44" s="4" t="str">
        <x:v>P-COST</x:v>
      </x:c>
    </x:row>
    <x:row r="45" ht="30" customHeight="1">
      <x:c r="A45" s="1"/>
      <x:c r="B45" s="1"/>
      <x:c r="C45" s="4" t="str">
        <x:v>Field equipment shipping service</x:v>
      </x:c>
      <x:c r="D45" s="20" t="n">
        <x:v>2</x:v>
      </x:c>
      <x:c r="E45" s="20" t="str">
        <x:v>service</x:v>
      </x:c>
      <x:c r="F45" s="21" t="n">
        <x:v>2000</x:v>
      </x:c>
      <x:c r="G45" s="22" t="n">
        <x:f>IF(COUNT(F45)=1,F45*IF(E45="equipment",Inputs!D9,Inputs!D10),NA())</x:f>
        <x:v>2000</x:v>
      </x:c>
      <x:c r="H45" s="22" t="n">
        <x:f>G45*IF(OR(E45="equipment",E45="goods"),(1+Inputs!D18)*(1+Inputs!D17),1)</x:f>
        <x:v>2000</x:v>
      </x:c>
      <x:c r="I45" s="23" t="n">
        <x:f>IF(COUNT(D45)=1,D45*H45,NA())</x:f>
        <x:v>4000</x:v>
      </x:c>
      <x:c r="J45" s="23" t="n">
        <x:f>IF(AND(E45="equipment",H45&gt;=5000),I45,0)</x:f>
        <x:v>0</x:v>
      </x:c>
      <x:c r="K45" s="4" t="str">
        <x:v>P-COST</x:v>
      </x:c>
    </x:row>
    <x:row r="46" ht="30" customHeight="1">
      <x:c r="A46" s="1"/>
      <x:c r="B46" s="1"/>
      <x:c r="C46" s="4" t="str">
        <x:v>Independent performance / control audit</x:v>
      </x:c>
      <x:c r="D46" s="20" t="n">
        <x:v>80</x:v>
      </x:c>
      <x:c r="E46" s="20" t="str">
        <x:v>service</x:v>
      </x:c>
      <x:c r="F46" s="21" t="n">
        <x:v>150</x:v>
      </x:c>
      <x:c r="G46" s="22" t="n">
        <x:f>IF(COUNT(F46)=1,F46*IF(E46="equipment",Inputs!D9,Inputs!D10),NA())</x:f>
        <x:v>150</x:v>
      </x:c>
      <x:c r="H46" s="22" t="n">
        <x:f>G46*IF(OR(E46="equipment",E46="goods"),(1+Inputs!D18)*(1+Inputs!D17),1)</x:f>
        <x:v>150</x:v>
      </x:c>
      <x:c r="I46" s="23" t="n">
        <x:f>IF(COUNT(D46)=1,D46*H46,NA())</x:f>
        <x:v>12000</x:v>
      </x:c>
      <x:c r="J46" s="23" t="n">
        <x:f>IF(AND(E46="equipment",H46&gt;=5000),I46,0)</x:f>
        <x:v>0</x:v>
      </x:c>
      <x:c r="K46" s="4" t="str">
        <x:v>P-COST</x:v>
      </x:c>
    </x:row>
    <x:row r="47" ht="30" customHeight="1">
      <x:c r="A47" s="1"/>
      <x:c r="B47" s="1"/>
      <x:c r="C47" s="4" t="str">
        <x:v>Specialist fabrication / commissioning</x:v>
      </x:c>
      <x:c r="D47" s="20" t="n">
        <x:v>120</x:v>
      </x:c>
      <x:c r="E47" s="20" t="str">
        <x:v>service</x:v>
      </x:c>
      <x:c r="F47" s="21" t="n">
        <x:v>125</x:v>
      </x:c>
      <x:c r="G47" s="22" t="n">
        <x:f>IF(COUNT(F47)=1,F47*IF(E47="equipment",Inputs!D9,Inputs!D10),NA())</x:f>
        <x:v>125</x:v>
      </x:c>
      <x:c r="H47" s="22" t="n">
        <x:f>G47*IF(OR(E47="equipment",E47="goods"),(1+Inputs!D18)*(1+Inputs!D17),1)</x:f>
        <x:v>125</x:v>
      </x:c>
      <x:c r="I47" s="23" t="n">
        <x:f>IF(COUNT(D47)=1,D47*H47,NA())</x:f>
        <x:v>15000</x:v>
      </x:c>
      <x:c r="J47" s="23" t="n">
        <x:f>IF(AND(E47="equipment",H47&gt;=5000),I47,0)</x:f>
        <x:v>0</x:v>
      </x:c>
      <x:c r="K47" s="4" t="str">
        <x:v>P-COST</x:v>
      </x:c>
    </x:row>
    <x:row r="48" ht="30" customHeight="1">
      <x:c r="A48" s="1"/>
      <x:c r="B48" s="1"/>
      <x:c r="C48" s="4" t="str">
        <x:v>Waste and adsorbent end-of-test handling</x:v>
      </x:c>
      <x:c r="D48" s="20" t="n">
        <x:v>6</x:v>
      </x:c>
      <x:c r="E48" s="20" t="str">
        <x:v>service</x:v>
      </x:c>
      <x:c r="F48" s="21" t="n">
        <x:v>600</x:v>
      </x:c>
      <x:c r="G48" s="22" t="n">
        <x:f>IF(COUNT(F48)=1,F48*IF(E48="equipment",Inputs!D9,Inputs!D10),NA())</x:f>
        <x:v>600</x:v>
      </x:c>
      <x:c r="H48" s="22" t="n">
        <x:f>G48*IF(OR(E48="equipment",E48="goods"),(1+Inputs!D18)*(1+Inputs!D17),1)</x:f>
        <x:v>600</x:v>
      </x:c>
      <x:c r="I48" s="23" t="n">
        <x:f>IF(COUNT(D48)=1,D48*H48,NA())</x:f>
        <x:v>3600</x:v>
      </x:c>
      <x:c r="J48" s="23" t="n">
        <x:f>IF(AND(E48="equipment",H48&gt;=5000),I48,0)</x:f>
        <x:v>0</x:v>
      </x:c>
      <x:c r="K48" s="4" t="str">
        <x:v>P-COST</x:v>
      </x:c>
    </x:row>
    <x:row r="49" ht="30" customHeight="1">
      <x:c r="A49" s="1"/>
      <x:c r="B49" s="1"/>
      <x:c r="C49" s="4" t="str">
        <x:v>Weather protection and spare parts</x:v>
      </x:c>
      <x:c r="D49" s="20" t="n">
        <x:v>1</x:v>
      </x:c>
      <x:c r="E49" s="20" t="str">
        <x:v>goods</x:v>
      </x:c>
      <x:c r="F49" s="21" t="n">
        <x:v>8000</x:v>
      </x:c>
      <x:c r="G49" s="22" t="n">
        <x:f>IF(COUNT(F49)=1,F49*IF(E49="equipment",Inputs!D9,Inputs!D10),NA())</x:f>
        <x:v>8000</x:v>
      </x:c>
      <x:c r="H49" s="22" t="n">
        <x:f>G49*IF(OR(E49="equipment",E49="goods"),(1+Inputs!D18)*(1+Inputs!D17),1)</x:f>
        <x:v>9286.199999999999</x:v>
      </x:c>
      <x:c r="I49" s="23" t="n">
        <x:f>IF(COUNT(D49)=1,D49*H49,NA())</x:f>
        <x:v>9286.199999999999</x:v>
      </x:c>
      <x:c r="J49" s="23" t="n">
        <x:f>IF(AND(E49="equipment",H49&gt;=5000),I49,0)</x:f>
        <x:v>0</x:v>
      </x:c>
      <x:c r="K49" s="4" t="str">
        <x:v>P-COST</x:v>
      </x:c>
    </x:row>
    <x:row r="50">
      <x:c r="A50" s="1"/>
      <x:c r="B50" s="1"/>
      <x:c r="C50" s="2"/>
      <x:c r="D50" s="2"/>
      <x:c r="E50" s="2"/>
      <x:c r="F50" s="2"/>
      <x:c r="G50" s="2"/>
      <x:c r="H50" s="2"/>
      <x:c r="I50" s="2"/>
      <x:c r="J50" s="2"/>
      <x:c r="K50" s="2"/>
    </x:row>
    <x:row r="51">
      <x:c r="A51" s="1"/>
      <x:c r="B51" s="1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32" customHeight="1">
      <x:c r="A52" s="1"/>
      <x:c r="B52" s="1"/>
      <x:c r="C52" s="9" t="str">
        <x:v>Funding build</x:v>
      </x:c>
      <x:c r="D52" s="9" t="str"/>
      <x:c r="E52" s="9" t="str"/>
      <x:c r="F52" s="9" t="str"/>
      <x:c r="G52" s="9" t="str"/>
      <x:c r="H52" s="9" t="str"/>
      <x:c r="I52" s="9" t="str">
        <x:v>Amount</x:v>
      </x:c>
      <x:c r="J52" s="9" t="str"/>
      <x:c r="K52" s="9" t="str"/>
    </x:row>
    <x:row r="53">
      <x:c r="A53" s="1"/>
      <x:c r="B53" s="1"/>
      <x:c r="C53" s="2" t="str">
        <x:v>Other direct costs</x:v>
      </x:c>
      <x:c r="D53" s="2"/>
      <x:c r="E53" s="2"/>
      <x:c r="F53" s="2"/>
      <x:c r="G53" s="2"/>
      <x:c r="H53" s="2"/>
      <x:c r="I53" s="17" t="n">
        <x:f>SUM(I28:I49)</x:f>
        <x:v>266459.4385</x:v>
      </x:c>
      <x:c r="J53" s="2"/>
      <x:c r="K53" s="2"/>
    </x:row>
    <x:row r="54">
      <x:c r="A54" s="1"/>
      <x:c r="B54" s="1"/>
      <x:c r="C54" s="2" t="str">
        <x:v>Total direct costs</x:v>
      </x:c>
      <x:c r="D54" s="2"/>
      <x:c r="E54" s="2"/>
      <x:c r="F54" s="2"/>
      <x:c r="G54" s="2"/>
      <x:c r="H54" s="2"/>
      <x:c r="I54" s="17" t="n">
        <x:f>I15+I24+I53</x:f>
        <x:v>1203325.3228799999</x:v>
      </x:c>
      <x:c r="J54" s="2"/>
      <x:c r="K54" s="2"/>
    </x:row>
    <x:row r="55">
      <x:c r="A55" s="1"/>
      <x:c r="B55" s="1"/>
      <x:c r="C55" s="2" t="str">
        <x:v>Equipment excluded from MTDC</x:v>
      </x:c>
      <x:c r="D55" s="2"/>
      <x:c r="E55" s="2"/>
      <x:c r="F55" s="2"/>
      <x:c r="G55" s="2"/>
      <x:c r="H55" s="2"/>
      <x:c r="I55" s="17" t="n">
        <x:f>SUM(J28:J49)</x:f>
        <x:v>135810.675</x:v>
      </x:c>
      <x:c r="J55" s="2"/>
      <x:c r="K55" s="2"/>
    </x:row>
    <x:row r="56">
      <x:c r="A56" s="1"/>
      <x:c r="B56" s="1"/>
      <x:c r="C56" s="2" t="str">
        <x:v>Modified direct-cost base</x:v>
      </x:c>
      <x:c r="D56" s="2"/>
      <x:c r="E56" s="2"/>
      <x:c r="F56" s="2"/>
      <x:c r="G56" s="2"/>
      <x:c r="H56" s="2"/>
      <x:c r="I56" s="17" t="n">
        <x:f>I54-I55</x:f>
        <x:v>1067514.6478799998</x:v>
      </x:c>
      <x:c r="J56" s="2"/>
      <x:c r="K56" s="2"/>
    </x:row>
    <x:row r="57">
      <x:c r="A57" s="1"/>
      <x:c r="B57" s="1"/>
      <x:c r="C57" s="2" t="str">
        <x:v>Institutional cost / F&amp;A</x:v>
      </x:c>
      <x:c r="D57" s="2"/>
      <x:c r="E57" s="2"/>
      <x:c r="F57" s="2"/>
      <x:c r="G57" s="2"/>
      <x:c r="H57" s="2"/>
      <x:c r="I57" s="18" t="n">
        <x:f>I56*Inputs!D15</x:f>
        <x:v>592470.6295733999</x:v>
      </x:c>
      <x:c r="J57" s="2"/>
      <x:c r="K57" s="2"/>
    </x:row>
    <x:row r="58">
      <x:c r="A58" s="1"/>
      <x:c r="B58" s="1"/>
      <x:c r="C58" s="2" t="str">
        <x:v>Direct plus institutional</x:v>
      </x:c>
      <x:c r="D58" s="2"/>
      <x:c r="E58" s="2"/>
      <x:c r="F58" s="2"/>
      <x:c r="G58" s="2"/>
      <x:c r="H58" s="2"/>
      <x:c r="I58" s="17" t="n">
        <x:f>I54+I57</x:f>
        <x:v>1795795.9524533998</x:v>
      </x:c>
      <x:c r="J58" s="2"/>
      <x:c r="K58" s="2"/>
    </x:row>
    <x:row r="59">
      <x:c r="A59" s="1"/>
      <x:c r="B59" s="1"/>
      <x:c r="C59" s="2" t="str">
        <x:v>Risk reserve</x:v>
      </x:c>
      <x:c r="D59" s="2"/>
      <x:c r="E59" s="2"/>
      <x:c r="F59" s="2"/>
      <x:c r="G59" s="2"/>
      <x:c r="H59" s="2"/>
      <x:c r="I59" s="18" t="n">
        <x:f>I58*Inputs!D16</x:f>
        <x:v>269369.39286801</x:v>
      </x:c>
      <x:c r="J59" s="2"/>
      <x:c r="K59" s="2"/>
    </x:row>
    <x:row r="60">
      <x:c r="A60" s="1"/>
      <x:c r="B60" s="1"/>
      <x:c r="C60" s="8" t="str">
        <x:v>PRELIMINARY FUNDING ENVELOPE</x:v>
      </x:c>
      <x:c r="D60" s="8"/>
      <x:c r="E60" s="8"/>
      <x:c r="F60" s="8"/>
      <x:c r="G60" s="8"/>
      <x:c r="H60" s="8"/>
      <x:c r="I60" s="25" t="n">
        <x:f>SUM(I58:I59)</x:f>
        <x:v>2065165.3453214099</x:v>
      </x:c>
      <x:c r="J60" s="8"/>
      <x:c r="K60" s="8"/>
    </x:row>
    <x:row r="61">
      <x:c r="A61" s="1"/>
      <x:c r="B61" s="1"/>
      <x:c r="C61" s="2"/>
      <x:c r="D61" s="2"/>
      <x:c r="E61" s="2"/>
      <x:c r="F61" s="2"/>
      <x:c r="G61" s="2"/>
      <x:c r="H61" s="2"/>
      <x:c r="I61" s="2"/>
      <x:c r="J61" s="2"/>
      <x:c r="K61" s="2"/>
    </x:row>
    <x:row r="62">
      <x:c r="A62" s="1"/>
      <x:c r="B62" s="1"/>
      <x:c r="C62" s="2" t="str">
        <x:v>Reconciliation difference (must be zero)</x:v>
      </x:c>
      <x:c r="D62" s="2"/>
      <x:c r="E62" s="2"/>
      <x:c r="F62" s="2"/>
      <x:c r="G62" s="2"/>
      <x:c r="H62" s="2"/>
      <x:c r="I62" s="17" t="n">
        <x:f>ROUND(I60-I15-I24-I53-I57-I59,2)</x:f>
        <x:v>0</x:v>
      </x:c>
      <x:c r="J62" s="2"/>
      <x:c r="K62" s="2"/>
    </x:row>
    <x:row r="63">
      <x:c r="A63" s="1"/>
      <x:c r="B63" s="1"/>
      <x:c r="C63" s="2"/>
      <x:c r="D63" s="2"/>
      <x:c r="E63" s="2"/>
      <x:c r="F63" s="2"/>
      <x:c r="G63" s="2"/>
      <x:c r="H63" s="2"/>
      <x:c r="I63" s="2"/>
      <x:c r="J63" s="2"/>
      <x:c r="K63" s="2"/>
    </x:row>
    <x:row r="64">
      <x:c r="A64" s="1"/>
      <x:c r="B64" s="1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54" customHeight="1">
      <x:c r="A65" s="1"/>
      <x:c r="B65" s="1"/>
      <x:c r="C65" s="4" t="str">
        <x:v>An actual sorbent and usable heat grade, climate/resource profiles, a strong adaptive baseline and an unresolved forecast/error decision are required. All quantities are unquoted planning ceilings. Confirmation precision and exact analytical methods require host/scientific review.</x:v>
      </x:c>
      <x:c r="D65" s="4"/>
      <x:c r="E65" s="4"/>
      <x:c r="F65" s="4"/>
      <x:c r="G65" s="4"/>
      <x:c r="H65" s="4"/>
      <x:c r="I65" s="4"/>
      <x:c r="J65" s="4"/>
      <x:c r="K65" s="4"/>
    </x:row>
    <x:row r="66" ht="38" customHeight="1">
      <x:c r="A66" s="1"/>
      <x:c r="B66" s="1"/>
      <x:c r="C66" s="4" t="str">
        <x:v>All apparatus are provisional specifications. Freight and tax are included for goods; capital exclusion uses landed per-unit cost and assumed useful life &gt; 1 year. Actual asset and tax treatment require host confirmation.</x:v>
      </x:c>
      <x:c r="D66" s="4"/>
      <x:c r="E66" s="4"/>
      <x:c r="F66" s="4"/>
      <x:c r="G66" s="4"/>
      <x:c r="H66" s="4"/>
      <x:c r="I66" s="4"/>
      <x:c r="J66" s="4"/>
      <x:c r="K66" s="4"/>
    </x:row>
    <x:row r="67">
      <x:c r="A67" s="1"/>
      <x:c r="B67" s="1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38" customHeight="1">
      <x:c r="A68" s="1"/>
      <x:c r="B68" s="1"/>
      <x:c r="C68" s="4" t="str">
        <x:v>Row 28 • 1 each • 222 L catalog anchor $30,047.54 plus project allowance. Verify loaded RH/temperature envelope, ports and bed capacity before selection. [B09; P-COST]</x:v>
      </x:c>
      <x:c r="D68" s="4"/>
      <x:c r="E68" s="4"/>
      <x:c r="F68" s="4"/>
      <x:c r="G68" s="4"/>
      <x:c r="H68" s="4"/>
      <x:c r="I68" s="4"/>
      <x:c r="J68" s="4"/>
      <x:c r="K68" s="4"/>
    </x:row>
    <x:row r="69" ht="38" customHeight="1">
      <x:c r="A69" s="1"/>
      <x:c r="B69" s="1"/>
      <x:c r="C69" s="4" t="str">
        <x:v>Row 29 • 1 assembly • Project estimate; obtain an itemized quote. [P-COST]</x:v>
      </x:c>
      <x:c r="D69" s="4"/>
      <x:c r="E69" s="4"/>
      <x:c r="F69" s="4"/>
      <x:c r="G69" s="4"/>
      <x:c r="H69" s="4"/>
      <x:c r="I69" s="4"/>
      <x:c r="J69" s="4"/>
      <x:c r="K69" s="4"/>
    </x:row>
    <x:row r="70" ht="38" customHeight="1">
      <x:c r="A70" s="1"/>
      <x:c r="B70" s="1"/>
      <x:c r="C70" s="4" t="str">
        <x:v>Row 30 • 9 each • Project estimate; obtain an itemized quote. [P-COST]</x:v>
      </x:c>
      <x:c r="D70" s="4"/>
      <x:c r="E70" s="4"/>
      <x:c r="F70" s="4"/>
      <x:c r="G70" s="4"/>
      <x:c r="H70" s="4"/>
      <x:c r="I70" s="4"/>
      <x:c r="J70" s="4"/>
      <x:c r="K70" s="4"/>
    </x:row>
    <x:row r="71" ht="38" customHeight="1">
      <x:c r="A71" s="1"/>
      <x:c r="B71" s="1"/>
      <x:c r="C71" s="4" t="str">
        <x:v>Row 31 • 6 each • Project estimate; obtain an itemized quote. [P-COST]</x:v>
      </x:c>
      <x:c r="D71" s="4"/>
      <x:c r="E71" s="4"/>
      <x:c r="F71" s="4"/>
      <x:c r="G71" s="4"/>
      <x:c r="H71" s="4"/>
      <x:c r="I71" s="4"/>
      <x:c r="J71" s="4"/>
      <x:c r="K71" s="4"/>
    </x:row>
    <x:row r="72" ht="38" customHeight="1">
      <x:c r="A72" s="1"/>
      <x:c r="B72" s="1"/>
      <x:c r="C72" s="4" t="str">
        <x:v>Row 32 • 1 assembly • Full-duty unquoted allowance; household / short-duty chillers are not an accepted selection. [B08; P-COST]</x:v>
      </x:c>
      <x:c r="D72" s="4"/>
      <x:c r="E72" s="4"/>
      <x:c r="F72" s="4"/>
      <x:c r="G72" s="4"/>
      <x:c r="H72" s="4"/>
      <x:c r="I72" s="4"/>
      <x:c r="J72" s="4"/>
      <x:c r="K72" s="4"/>
    </x:row>
    <x:row r="73" ht="38" customHeight="1">
      <x:c r="A73" s="1"/>
      <x:c r="B73" s="1"/>
      <x:c r="C73" s="4" t="str">
        <x:v>Row 33 • 1 assembly • Project estimate; obtain an itemized quote. [P-COST]</x:v>
      </x:c>
      <x:c r="D73" s="4"/>
      <x:c r="E73" s="4"/>
      <x:c r="F73" s="4"/>
      <x:c r="G73" s="4"/>
      <x:c r="H73" s="4"/>
      <x:c r="I73" s="4"/>
      <x:c r="J73" s="4"/>
      <x:c r="K73" s="4"/>
    </x:row>
    <x:row r="74" ht="38" customHeight="1">
      <x:c r="A74" s="1"/>
      <x:c r="B74" s="1"/>
      <x:c r="C74" s="4" t="str">
        <x:v>Row 34 • 3 lot • Commercial sorbent candidate; no supplier price or material performance assumed. [P-COST]</x:v>
      </x:c>
      <x:c r="D74" s="4"/>
      <x:c r="E74" s="4"/>
      <x:c r="F74" s="4"/>
      <x:c r="G74" s="4"/>
      <x:c r="H74" s="4"/>
      <x:c r="I74" s="4"/>
      <x:c r="J74" s="4"/>
      <x:c r="K74" s="4"/>
    </x:row>
    <x:row r="75" ht="38" customHeight="1">
      <x:c r="A75" s="1"/>
      <x:c r="B75" s="1"/>
      <x:c r="C75" s="4" t="str">
        <x:v>Row 35 • 222 bed/unit-day • Project estimate; obtain an itemized quote. [P-COST]</x:v>
      </x:c>
      <x:c r="D75" s="4"/>
      <x:c r="E75" s="4"/>
      <x:c r="F75" s="4"/>
      <x:c r="G75" s="4"/>
      <x:c r="H75" s="4"/>
      <x:c r="I75" s="4"/>
      <x:c r="J75" s="4"/>
      <x:c r="K75" s="4"/>
    </x:row>
    <x:row r="76" ht="38" customHeight="1">
      <x:c r="A76" s="1"/>
      <x:c r="B76" s="1"/>
      <x:c r="C76" s="4" t="str">
        <x:v>Row 36 • 100 cycle • Project estimate; obtain an itemized quote. [P-COST]</x:v>
      </x:c>
      <x:c r="D76" s="4"/>
      <x:c r="E76" s="4"/>
      <x:c r="F76" s="4"/>
      <x:c r="G76" s="4"/>
      <x:c r="H76" s="4"/>
      <x:c r="I76" s="4"/>
      <x:c r="J76" s="4"/>
      <x:c r="K76" s="4"/>
    </x:row>
    <x:row r="77" ht="38" customHeight="1">
      <x:c r="A77" s="1"/>
      <x:c r="B77" s="1"/>
      <x:c r="C77" s="4" t="str">
        <x:v>Row 37 • 50 hour • Project estimate; obtain an itemized quote. [P-COST]</x:v>
      </x:c>
      <x:c r="D77" s="4"/>
      <x:c r="E77" s="4"/>
      <x:c r="F77" s="4"/>
      <x:c r="G77" s="4"/>
      <x:c r="H77" s="4"/>
      <x:c r="I77" s="4"/>
      <x:c r="J77" s="4"/>
      <x:c r="K77" s="4"/>
    </x:row>
    <x:row r="78" ht="38" customHeight="1">
      <x:c r="A78" s="1"/>
      <x:c r="B78" s="1"/>
      <x:c r="C78" s="4" t="str">
        <x:v>Row 38 • 24 panel • Extra material-specific methods beyond ICP/IC/DOC bundles; exact analytes pending material selection. [P-COST]</x:v>
      </x:c>
      <x:c r="D78" s="4"/>
      <x:c r="E78" s="4"/>
      <x:c r="F78" s="4"/>
      <x:c r="G78" s="4"/>
      <x:c r="H78" s="4"/>
      <x:c r="I78" s="4"/>
      <x:c r="J78" s="4"/>
      <x:c r="K78" s="4"/>
    </x:row>
    <x:row r="79" ht="38" customHeight="1">
      <x:c r="A79" s="1"/>
      <x:c r="B79" s="1"/>
      <x:c r="C79" s="4" t="str">
        <x:v>Row 39 • 60 sample • Planning allowance, not a claim that this alone establishes potable water. [P-COST]</x:v>
      </x:c>
      <x:c r="D79" s="4"/>
      <x:c r="E79" s="4"/>
      <x:c r="F79" s="4"/>
      <x:c r="G79" s="4"/>
      <x:c r="H79" s="4"/>
      <x:c r="I79" s="4"/>
      <x:c r="J79" s="4"/>
      <x:c r="K79" s="4"/>
    </x:row>
    <x:row r="80" ht="38" customHeight="1">
      <x:c r="A80" s="1"/>
      <x:c r="B80" s="1"/>
      <x:c r="C80" s="4" t="str">
        <x:v>Row 40 • 4 person-trip • Project estimate; obtain an itemized quote. [P-COST]</x:v>
      </x:c>
      <x:c r="D80" s="4"/>
      <x:c r="E80" s="4"/>
      <x:c r="F80" s="4"/>
      <x:c r="G80" s="4"/>
      <x:c r="H80" s="4"/>
      <x:c r="I80" s="4"/>
      <x:c r="J80" s="4"/>
      <x:c r="K80" s="4"/>
    </x:row>
    <x:row r="81" ht="38" customHeight="1">
      <x:c r="A81" s="1"/>
      <x:c r="B81" s="1"/>
      <x:c r="C81" s="4" t="str">
        <x:v>Row 41 • 56 person-night • Project estimate; obtain an itemized quote. [P-COST]</x:v>
      </x:c>
      <x:c r="D81" s="4"/>
      <x:c r="E81" s="4"/>
      <x:c r="F81" s="4"/>
      <x:c r="G81" s="4"/>
      <x:c r="H81" s="4"/>
      <x:c r="I81" s="4"/>
      <x:c r="J81" s="4"/>
      <x:c r="K81" s="4"/>
    </x:row>
    <x:row r="82" ht="38" customHeight="1">
      <x:c r="A82" s="1"/>
      <x:c r="B82" s="1"/>
      <x:c r="C82" s="4" t="str">
        <x:v>Row 42 • 56 person-day • Project estimate; obtain an itemized quote. [P-COST]</x:v>
      </x:c>
      <x:c r="D82" s="4"/>
      <x:c r="E82" s="4"/>
      <x:c r="F82" s="4"/>
      <x:c r="G82" s="4"/>
      <x:c r="H82" s="4"/>
      <x:c r="I82" s="4"/>
      <x:c r="J82" s="4"/>
      <x:c r="K82" s="4"/>
    </x:row>
    <x:row r="83" ht="38" customHeight="1">
      <x:c r="A83" s="1"/>
      <x:c r="B83" s="1"/>
      <x:c r="C83" s="4" t="str">
        <x:v>Row 43 • 28 vehicle-day • Project estimate; obtain an itemized quote. [P-COST]</x:v>
      </x:c>
      <x:c r="D83" s="4"/>
      <x:c r="E83" s="4"/>
      <x:c r="F83" s="4"/>
      <x:c r="G83" s="4"/>
      <x:c r="H83" s="4"/>
      <x:c r="I83" s="4"/>
      <x:c r="J83" s="4"/>
      <x:c r="K83" s="4"/>
    </x:row>
    <x:row r="84" ht="38" customHeight="1">
      <x:c r="A84" s="1"/>
      <x:c r="B84" s="1"/>
      <x:c r="C84" s="4" t="str">
        <x:v>Row 44 • 28 site-day • One support allowance per day, not per unit; no host secured. Covers local support and access administration, not land/building rent. [P-COST]</x:v>
      </x:c>
      <x:c r="D84" s="4"/>
      <x:c r="E84" s="4"/>
      <x:c r="F84" s="4"/>
      <x:c r="G84" s="4"/>
      <x:c r="H84" s="4"/>
      <x:c r="I84" s="4"/>
      <x:c r="J84" s="4"/>
      <x:c r="K84" s="4"/>
    </x:row>
    <x:row r="85" ht="38" customHeight="1">
      <x:c r="A85" s="1"/>
      <x:c r="B85" s="1"/>
      <x:c r="C85" s="4" t="str">
        <x:v>Row 45 • 2 season • Project estimate; obtain an itemized quote. [P-COST]</x:v>
      </x:c>
      <x:c r="D85" s="4"/>
      <x:c r="E85" s="4"/>
      <x:c r="F85" s="4"/>
      <x:c r="G85" s="4"/>
      <x:c r="H85" s="4"/>
      <x:c r="I85" s="4"/>
      <x:c r="J85" s="4"/>
      <x:c r="K85" s="4"/>
    </x:row>
    <x:row r="86" ht="38" customHeight="1">
      <x:c r="A86" s="1"/>
      <x:c r="B86" s="1"/>
      <x:c r="C86" s="4" t="str">
        <x:v>Row 46 • 80 hour • Project estimate; obtain an itemized quote. [P-COST]</x:v>
      </x:c>
      <x:c r="D86" s="4"/>
      <x:c r="E86" s="4"/>
      <x:c r="F86" s="4"/>
      <x:c r="G86" s="4"/>
      <x:c r="H86" s="4"/>
      <x:c r="I86" s="4"/>
      <x:c r="J86" s="4"/>
      <x:c r="K86" s="4"/>
    </x:row>
    <x:row r="87" ht="38" customHeight="1">
      <x:c r="A87" s="1"/>
      <x:c r="B87" s="1"/>
      <x:c r="C87" s="4" t="str">
        <x:v>Row 47 • 120 hour • Project estimate; obtain an itemized quote. [P-COST]</x:v>
      </x:c>
      <x:c r="D87" s="4"/>
      <x:c r="E87" s="4"/>
      <x:c r="F87" s="4"/>
      <x:c r="G87" s="4"/>
      <x:c r="H87" s="4"/>
      <x:c r="I87" s="4"/>
      <x:c r="J87" s="4"/>
      <x:c r="K87" s="4"/>
    </x:row>
    <x:row r="88" ht="38" customHeight="1">
      <x:c r="A88" s="1"/>
      <x:c r="B88" s="1"/>
      <x:c r="C88" s="4" t="str">
        <x:v>Row 48 • 6 lot • Project estimate; obtain an itemized quote. [P-COST]</x:v>
      </x:c>
      <x:c r="D88" s="4"/>
      <x:c r="E88" s="4"/>
      <x:c r="F88" s="4"/>
      <x:c r="G88" s="4"/>
      <x:c r="H88" s="4"/>
      <x:c r="I88" s="4"/>
      <x:c r="J88" s="4"/>
      <x:c r="K88" s="4"/>
    </x:row>
    <x:row r="89" ht="38" customHeight="1">
      <x:c r="A89" s="1"/>
      <x:c r="B89" s="1"/>
      <x:c r="C89" s="4" t="str">
        <x:v>Row 49 • 1 lot • Project estimate; obtain an itemized quote. [P-COST]</x:v>
      </x:c>
      <x:c r="D89" s="4"/>
      <x:c r="E89" s="4"/>
      <x:c r="F89" s="4"/>
      <x:c r="G89" s="4"/>
      <x:c r="H89" s="4"/>
      <x:c r="I89" s="4"/>
      <x:c r="J89" s="4"/>
      <x:c r="K89" s="4"/>
    </x:row>
    <x:row r="90">
      <x:c r="A90" s="1"/>
      <x:c r="B90" s="1"/>
      <x:c r="C90" s="2"/>
      <x:c r="D90" s="2"/>
      <x:c r="E90" s="2"/>
      <x:c r="F90" s="2"/>
      <x:c r="G90" s="2"/>
      <x:c r="H90" s="2"/>
      <x:c r="I90" s="2"/>
      <x:c r="J90" s="2"/>
      <x:c r="K90" s="2"/>
    </x:row>
    <x:row r="91">
      <x:c r="A91" s="1"/>
      <x:c r="B91" s="1"/>
      <x:c r="C91" s="2"/>
      <x:c r="D91" s="2"/>
      <x:c r="E91" s="2"/>
      <x:c r="F91" s="2"/>
      <x:c r="G91" s="2"/>
      <x:c r="H91" s="2"/>
      <x:c r="I91" s="2"/>
      <x:c r="J91" s="2"/>
      <x:c r="K91" s="2"/>
    </x:row>
    <x:row r="92">
      <x:c r="A92" s="1"/>
      <x:c r="B92" s="1"/>
      <x:c r="C92" s="2"/>
      <x:c r="D92" s="2"/>
      <x:c r="E92" s="2"/>
      <x:c r="F92" s="2"/>
      <x:c r="G92" s="2"/>
      <x:c r="H92" s="2"/>
      <x:c r="I92" s="2"/>
      <x:c r="J92" s="2"/>
      <x:c r="K92" s="2"/>
    </x:row>
    <x:row r="93">
      <x:c r="A93" s="1"/>
      <x:c r="B93" s="1"/>
      <x:c r="C93" s="2"/>
      <x:c r="D93" s="2"/>
      <x:c r="E93" s="2"/>
      <x:c r="F93" s="2"/>
      <x:c r="G93" s="2"/>
      <x:c r="H93" s="2"/>
      <x:c r="I93" s="2"/>
      <x:c r="J93" s="2"/>
      <x:c r="K93" s="2"/>
    </x:row>
    <x:row r="94">
      <x:c r="A94" s="1"/>
      <x:c r="B94" s="1"/>
      <x:c r="C94" s="2"/>
      <x:c r="D94" s="2"/>
      <x:c r="E94" s="2"/>
      <x:c r="F94" s="2"/>
      <x:c r="G94" s="2"/>
      <x:c r="H94" s="2"/>
      <x:c r="I94" s="2"/>
      <x:c r="J94" s="2"/>
      <x:c r="K94" s="2"/>
    </x:row>
    <x:row r="95">
      <x:c r="A95" s="1"/>
      <x:c r="B95" s="1"/>
      <x:c r="C95" s="2"/>
      <x:c r="D95" s="2"/>
      <x:c r="E95" s="2"/>
      <x:c r="F95" s="2"/>
      <x:c r="G95" s="2"/>
      <x:c r="H95" s="2"/>
      <x:c r="I95" s="2"/>
      <x:c r="J95" s="2"/>
      <x:c r="K95" s="2"/>
    </x:row>
    <x:row r="96">
      <x:c r="A96" s="1"/>
      <x:c r="B96" s="1"/>
      <x:c r="C96" s="2"/>
      <x:c r="D96" s="2"/>
      <x:c r="E96" s="2"/>
      <x:c r="F96" s="2"/>
      <x:c r="G96" s="2"/>
      <x:c r="H96" s="2"/>
      <x:c r="I96" s="2"/>
      <x:c r="J96" s="2"/>
      <x:c r="K96" s="2"/>
    </x:row>
    <x:row r="97">
      <x:c r="A97" s="1"/>
      <x:c r="B97" s="1"/>
      <x:c r="C97" s="2"/>
      <x:c r="D97" s="2"/>
      <x:c r="E97" s="2"/>
      <x:c r="F97" s="2"/>
      <x:c r="G97" s="2"/>
      <x:c r="H97" s="2"/>
      <x:c r="I97" s="2"/>
      <x:c r="J97" s="2"/>
      <x:c r="K97" s="2"/>
    </x:row>
    <x:row r="98">
      <x:c r="A98" s="1"/>
      <x:c r="B98" s="1"/>
      <x:c r="C98" s="2"/>
      <x:c r="D98" s="2"/>
      <x:c r="E98" s="2"/>
      <x:c r="F98" s="2"/>
      <x:c r="G98" s="2"/>
      <x:c r="H98" s="2"/>
      <x:c r="I98" s="2"/>
      <x:c r="J98" s="2"/>
      <x:c r="K98" s="2"/>
    </x:row>
    <x:row r="99">
      <x:c r="A99" s="1"/>
      <x:c r="B99" s="1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30" customHeight="1">
      <x:c r="A100" s="1"/>
      <x:c r="B100" s="1"/>
      <x:c r="C100" s="33" t="str">
        <x:v>RESEARCH REQUIREMENTS AND SCOPE • September 9, 2026</x:v>
      </x:c>
      <x:c r="D100" s="4"/>
      <x:c r="E100" s="4"/>
      <x:c r="F100" s="4"/>
      <x:c r="G100" s="4"/>
      <x:c r="H100" s="4"/>
      <x:c r="I100" s="4"/>
      <x:c r="J100" s="4"/>
      <x:c r="K100" s="4"/>
    </x:row>
    <x:row r="101" ht="64" customHeight="1">
      <x:c r="A101" s="1"/>
      <x:c r="B101" s="1"/>
      <x:c r="C101" s="4" t="str">
        <x:v>A prespecified moisture-inventory and uncertainty-aware run/wait/stop rule is compared on equal hardware and forecast access.</x:v>
      </x:c>
      <x:c r="D101" s="4"/>
      <x:c r="E101" s="4"/>
      <x:c r="F101" s="4"/>
      <x:c r="G101" s="4"/>
      <x:c r="H101" s="4"/>
      <x:c r="I101" s="4"/>
      <x:c r="J101" s="4"/>
      <x:c r="K101" s="4"/>
    </x:row>
    <x:row r="102" ht="64" customHeight="1">
      <x:c r="A102" s="1"/>
      <x:c r="B102" s="1"/>
      <x:c r="C102" s="4" t="str">
        <x:v>Before proceeding: An actual sorbent and usable heat grade, climate/resource profiles, a strong adaptive baseline and an unresolved forecast/error decision are required.</x:v>
      </x:c>
      <x:c r="D102" s="4"/>
      <x:c r="E102" s="4"/>
      <x:c r="F102" s="4"/>
      <x:c r="G102" s="4"/>
      <x:c r="H102" s="4"/>
      <x:c r="I102" s="4"/>
      <x:c r="J102" s="4"/>
      <x:c r="K102" s="4"/>
    </x:row>
    <x:row r="103" ht="64" customHeight="1">
      <x:c r="A103" s="1"/>
      <x:c r="B103" s="1"/>
      <x:c r="C103" s="4" t="str">
        <x:v>Nine independent beds and 54 chamber bed-days; six paired field units over two 14-day windows, totaling 168 unit-days; 222 principal water panels. Conditional quantities are planning ceilings. Laboratory methods and quotes must confirm adequate capacity.</x:v>
      </x:c>
      <x:c r="D103" s="4"/>
      <x:c r="E103" s="4"/>
      <x:c r="F103" s="4"/>
      <x:c r="G103" s="4"/>
      <x:c r="H103" s="4"/>
      <x:c r="I103" s="4"/>
      <x:c r="J103" s="4"/>
      <x:c r="K103" s="4"/>
    </x:row>
    <x:row r="104" ht="46" customHeight="1">
      <x:c r="A104" s="1"/>
      <x:c r="B104" s="1"/>
      <x:c r="C104" s="4" t="str">
        <x:v>Use the proposed allocation register and full protocol. Repeated cycles are not independent replicates; a scientific lead must verify precision before confirmation.</x:v>
      </x:c>
      <x:c r="D104" s="4"/>
      <x:c r="E104" s="4"/>
      <x:c r="F104" s="4"/>
      <x:c r="G104" s="4"/>
      <x:c r="H104" s="4"/>
      <x:c r="I104" s="4"/>
      <x:c r="J104" s="4"/>
      <x:c r="K104" s="4"/>
    </x:row>
    <x:row r="105" ht="46" customHeight="1">
      <x:c r="A105" s="1"/>
      <x:c r="B105" s="1"/>
      <x:c r="C105" s="4" t="str">
        <x:v>The reviewed literature supports these comparisons, not a forecast of project performance. Author data are not entered as experimental observations.</x:v>
      </x:c>
      <x:c r="D105" s="4"/>
      <x:c r="E105" s="4"/>
      <x:c r="F105" s="4"/>
      <x:c r="G105" s="4"/>
      <x:c r="H105" s="4"/>
      <x:c r="I105" s="4"/>
      <x:c r="J105" s="4"/>
      <x:c r="K105" s="4"/>
    </x:row>
    <x:row r="106" ht="46" customHeight="1">
      <x:c r="A106" s="1"/>
      <x:c r="B106" s="1"/>
      <x:c r="C106" s="4" t="str">
        <x:v>https://waterfromenergy.com/research-review.html#study-h</x:v>
      </x:c>
      <x:c r="D106" s="4"/>
      <x:c r="E106" s="4"/>
      <x:c r="F106" s="4"/>
      <x:c r="G106" s="4"/>
      <x:c r="H106" s="4"/>
      <x:c r="I106" s="4"/>
      <x:c r="J106" s="4"/>
      <x:c r="K106" s="4"/>
    </x:row>
    <x:row r="107">
      <x:c r="A107" s="1"/>
      <x:c r="B107" s="1"/>
      <x:c r="C107" s="2"/>
      <x:c r="D107" s="2"/>
      <x:c r="E107" s="2"/>
      <x:c r="F107" s="2"/>
      <x:c r="G107" s="2"/>
      <x:c r="H107" s="2"/>
      <x:c r="I107" s="2"/>
      <x:c r="J107" s="2"/>
      <x:c r="K107" s="2"/>
    </x:row>
    <x:row r="108" ht="46" customHeight="1">
      <x:c r="A108" s="1"/>
      <x:c r="B108" s="1"/>
      <x:c r="C108" s="4" t="str">
        <x:v>S16 • Environmentally adaptive MOF-based device enables continuous self-optimizing atmospheric water harvesting</x:v>
      </x:c>
      <x:c r="D108" s="4"/>
      <x:c r="E108" s="4"/>
      <x:c r="F108" s="4"/>
      <x:c r="G108" s="4"/>
      <x:c r="H108" s="4"/>
      <x:c r="I108" s="4"/>
      <x:c r="J108" s="4"/>
      <x:c r="K108" s="4"/>
    </x:row>
    <x:row r="109" ht="46" customHeight="1">
      <x:c r="A109" s="1"/>
      <x:c r="B109" s="1"/>
      <x:c r="C109" s="4" t="str">
        <x:v>https://www.nature.com/articles/s41467-022-32642-0</x:v>
      </x:c>
      <x:c r="D109" s="4"/>
      <x:c r="E109" s="4"/>
      <x:c r="F109" s="4"/>
      <x:c r="G109" s="4"/>
      <x:c r="H109" s="4"/>
      <x:c r="I109" s="4"/>
      <x:c r="J109" s="4"/>
      <x:c r="K109" s="4"/>
    </x:row>
    <x:row r="110">
      <x:c r="A110" s="1"/>
      <x:c r="B110" s="1"/>
      <x:c r="C110" s="2"/>
      <x:c r="D110" s="2"/>
      <x:c r="E110" s="2"/>
      <x:c r="F110" s="2"/>
      <x:c r="G110" s="2"/>
      <x:c r="H110" s="2"/>
      <x:c r="I110" s="2"/>
      <x:c r="J110" s="2"/>
      <x:c r="K110" s="2"/>
    </x:row>
    <x:row r="111">
      <x:c r="A111" s="1"/>
      <x:c r="B111" s="1"/>
      <x:c r="C111" s="2"/>
      <x:c r="D111" s="2"/>
      <x:c r="E111" s="2"/>
      <x:c r="F111" s="2"/>
      <x:c r="G111" s="2"/>
      <x:c r="H111" s="2"/>
      <x:c r="I111" s="2"/>
      <x:c r="J111" s="2"/>
      <x:c r="K111" s="2"/>
    </x:row>
    <x:row r="112">
      <x:c r="A112" s="1"/>
      <x:c r="B112" s="1"/>
      <x:c r="C112" s="2"/>
      <x:c r="D112" s="2"/>
      <x:c r="E112" s="2"/>
      <x:c r="F112" s="2"/>
      <x:c r="G112" s="2"/>
      <x:c r="H112" s="2"/>
      <x:c r="I112" s="2"/>
      <x:c r="J112" s="2"/>
      <x:c r="K112" s="2"/>
    </x:row>
    <x:row r="113">
      <x:c r="A113" s="1"/>
      <x:c r="B113" s="1"/>
      <x:c r="C113" s="2"/>
      <x:c r="D113" s="2"/>
      <x:c r="E113" s="2"/>
      <x:c r="F113" s="2"/>
      <x:c r="G113" s="2"/>
      <x:c r="H113" s="2"/>
      <x:c r="I113" s="2"/>
      <x:c r="J113" s="2"/>
      <x:c r="K113" s="2"/>
    </x:row>
    <x:row r="114">
      <x:c r="A114" s="1"/>
      <x:c r="B114" s="1"/>
      <x:c r="C114" s="2"/>
      <x:c r="D114" s="2"/>
      <x:c r="E114" s="2"/>
      <x:c r="F114" s="2"/>
      <x:c r="G114" s="2"/>
      <x:c r="H114" s="2"/>
      <x:c r="I114" s="2"/>
      <x:c r="J114" s="2"/>
      <x:c r="K114" s="2"/>
    </x:row>
    <x:row r="115">
      <x:c r="A115" s="1"/>
      <x:c r="B115" s="1"/>
      <x:c r="C115" s="2"/>
      <x:c r="D115" s="2"/>
      <x:c r="E115" s="2"/>
      <x:c r="F115" s="2"/>
      <x:c r="G115" s="2"/>
      <x:c r="H115" s="2"/>
      <x:c r="I115" s="2"/>
      <x:c r="J115" s="2"/>
      <x:c r="K115" s="2"/>
    </x:row>
    <x:row r="116">
      <x:c r="A116" s="1"/>
      <x:c r="B116" s="1"/>
      <x:c r="C116" s="2"/>
      <x:c r="D116" s="2"/>
      <x:c r="E116" s="2"/>
      <x:c r="F116" s="2"/>
      <x:c r="G116" s="2"/>
      <x:c r="H116" s="2"/>
      <x:c r="I116" s="2"/>
      <x:c r="J116" s="2"/>
      <x:c r="K116" s="2"/>
    </x:row>
    <x:row r="117">
      <x:c r="A117" s="1"/>
      <x:c r="B117" s="1"/>
      <x:c r="C117" s="2"/>
      <x:c r="D117" s="2"/>
      <x:c r="E117" s="2"/>
      <x:c r="F117" s="2"/>
      <x:c r="G117" s="2"/>
      <x:c r="H117" s="2"/>
      <x:c r="I117" s="2"/>
      <x:c r="J117" s="2"/>
      <x:c r="K117" s="2"/>
    </x:row>
    <x:row r="118">
      <x:c r="A118" s="1"/>
      <x:c r="B118" s="1"/>
      <x:c r="C118" s="2"/>
      <x:c r="D118" s="2"/>
      <x:c r="E118" s="2"/>
      <x:c r="F118" s="2"/>
      <x:c r="G118" s="2"/>
      <x:c r="H118" s="2"/>
      <x:c r="I118" s="2"/>
      <x:c r="J118" s="2"/>
      <x:c r="K118" s="2"/>
    </x:row>
    <x:row r="119">
      <x:c r="A119" s="1"/>
      <x:c r="B119" s="1"/>
      <x:c r="C119" s="2"/>
      <x:c r="D119" s="2"/>
      <x:c r="E119" s="2"/>
      <x:c r="F119" s="2"/>
      <x:c r="G119" s="2"/>
      <x:c r="H119" s="2"/>
      <x:c r="I119" s="2"/>
      <x:c r="J119" s="2"/>
      <x:c r="K119" s="2"/>
    </x:row>
    <x:row r="120">
      <x:c r="A120" s="1"/>
      <x:c r="B120" s="1"/>
      <x:c r="C120" s="2"/>
      <x:c r="D120" s="2"/>
      <x:c r="E120" s="2"/>
      <x:c r="F120" s="2"/>
      <x:c r="G120" s="2"/>
      <x:c r="H120" s="2"/>
      <x:c r="I120" s="2"/>
      <x:c r="J120" s="2"/>
      <x:c r="K120" s="2"/>
    </x:row>
    <x:row r="121" ht="50" customHeight="1">
      <x:c r="A121" s="1"/>
      <x:c r="B121" s="1"/>
      <x:c r="C121" s="4" t="str">
        <x:v>Candidate constrained-control contribution; novelty unresolved; prior-art references: N25, N26, N27, N35, N36</x:v>
      </x:c>
      <x:c r="D121" s="4"/>
      <x:c r="E121" s="4"/>
      <x:c r="F121" s="4"/>
      <x:c r="G121" s="4"/>
      <x:c r="H121" s="4"/>
      <x:c r="I121" s="4"/>
      <x:c r="J121" s="4"/>
      <x:c r="K121" s="4"/>
    </x:row>
    <x:row r="122" ht="40" customHeight="1">
      <x:c r="A122" s="1"/>
      <x:c r="B122" s="1"/>
      <x:c r="C122" s="4" t="str">
        <x:v>https://waterfromenergy.com/research-program.html#study-h</x:v>
      </x:c>
      <x:c r="D122" s="4"/>
      <x:c r="E122" s="4"/>
      <x:c r="F122" s="4"/>
      <x:c r="G122" s="4"/>
      <x:c r="H122" s="4"/>
      <x:c r="I122" s="4"/>
      <x:c r="J122" s="4"/>
      <x:c r="K122" s="4"/>
    </x:row>
    <x:row r="123" ht="50" customHeight="1">
      <x:c r="A123" s="1"/>
      <x:c r="B123" s="1"/>
      <x:c r="C123" s="4" t="str">
        <x:v>Source-level reading depth and unresolved method gaps are documented in the program bibliography. No full ASTM-compliance or patentability conclusion.</x:v>
      </x:c>
      <x:c r="D123" s="4"/>
      <x:c r="E123" s="4"/>
      <x:c r="F123" s="4"/>
      <x:c r="G123" s="4"/>
      <x:c r="H123" s="4"/>
      <x:c r="I123" s="4"/>
      <x:c r="J123" s="4"/>
      <x:c r="K123" s="4"/>
    </x:row>
    <x:row r="124" ht="66" customHeight="1">
      <x:c r="A124" s="1"/>
      <x:c r="B124" s="1"/>
      <x:c r="C124" s="4" t="str">
        <x:v>Can a controller that accounts for uncertain forecasts and stored moisture avoid wasted regeneration while delivering more qualifying water than a tuned adaptive controller under the same resource limits?</x:v>
      </x:c>
      <x:c r="D124" s="4"/>
      <x:c r="E124" s="4"/>
      <x:c r="F124" s="4"/>
      <x:c r="G124" s="4"/>
      <x:c r="H124" s="4"/>
      <x:c r="I124" s="4"/>
      <x:c r="J124" s="4"/>
      <x:c r="K124" s="4"/>
    </x:row>
    <x:row r="125">
      <x:c r="A125" s="1"/>
      <x:c r="B125" s="1"/>
      <x:c r="C125" s="2"/>
      <x:c r="D125" s="2"/>
      <x:c r="E125" s="2"/>
      <x:c r="F125" s="2"/>
      <x:c r="G125" s="2"/>
      <x:c r="H125" s="2"/>
      <x:c r="I125" s="2"/>
      <x:c r="J125" s="2"/>
      <x:c r="K125" s="2"/>
    </x:row>
    <x:row r="126">
      <x:c r="A126" s="1"/>
      <x:c r="B126" s="1"/>
      <x:c r="C126" s="2"/>
      <x:c r="D126" s="2"/>
      <x:c r="E126" s="2"/>
      <x:c r="F126" s="2"/>
      <x:c r="G126" s="2"/>
      <x:c r="H126" s="2"/>
      <x:c r="I126" s="2"/>
      <x:c r="J126" s="2"/>
      <x:c r="K126" s="2"/>
    </x:row>
    <x:row r="127">
      <x:c r="A127" s="1"/>
      <x:c r="B127" s="1"/>
      <x:c r="C127" s="2"/>
      <x:c r="D127" s="2"/>
      <x:c r="E127" s="2"/>
      <x:c r="F127" s="2"/>
      <x:c r="G127" s="2"/>
      <x:c r="H127" s="2"/>
      <x:c r="I127" s="2"/>
      <x:c r="J127" s="2"/>
      <x:c r="K127" s="2"/>
    </x:row>
    <x:row r="128">
      <x:c r="A128" s="1"/>
      <x:c r="B128" s="1"/>
      <x:c r="C128" s="2"/>
      <x:c r="D128" s="2"/>
      <x:c r="E128" s="2"/>
      <x:c r="F128" s="2"/>
      <x:c r="G128" s="2"/>
      <x:c r="H128" s="2"/>
      <x:c r="I128" s="2"/>
      <x:c r="J128" s="2"/>
      <x:c r="K128" s="2"/>
    </x:row>
    <x:row r="129">
      <x:c r="A129" s="1"/>
      <x:c r="B129" s="1"/>
      <x:c r="C129" s="2"/>
      <x:c r="D129" s="2"/>
      <x:c r="E129" s="2"/>
      <x:c r="F129" s="2"/>
      <x:c r="G129" s="2"/>
      <x:c r="H129" s="2"/>
      <x:c r="I129" s="2"/>
      <x:c r="J129" s="2"/>
      <x:c r="K129" s="2"/>
    </x:row>
    <x:row r="130">
      <x:c r="A130" s="1"/>
      <x:c r="B130" s="1"/>
      <x:c r="C130" s="2"/>
      <x:c r="D130" s="2"/>
      <x:c r="E130" s="2"/>
      <x:c r="F130" s="2"/>
      <x:c r="G130" s="2"/>
      <x:c r="H130" s="2"/>
      <x:c r="I130" s="2"/>
      <x:c r="J130" s="2"/>
      <x:c r="K130" s="2"/>
    </x:row>
    <x:row r="131">
      <x:c r="A131" s="1"/>
      <x:c r="B131" s="1"/>
      <x:c r="C131" s="2"/>
      <x:c r="D131" s="2"/>
      <x:c r="E131" s="2"/>
      <x:c r="F131" s="2"/>
      <x:c r="G131" s="2"/>
      <x:c r="H131" s="2"/>
      <x:c r="I131" s="2"/>
      <x:c r="J131" s="2"/>
      <x:c r="K131" s="2"/>
    </x:row>
    <x:row r="132">
      <x:c r="A132" s="1"/>
      <x:c r="B132" s="1"/>
      <x:c r="C132" s="2"/>
      <x:c r="D132" s="2"/>
      <x:c r="E132" s="2"/>
      <x:c r="F132" s="2"/>
      <x:c r="G132" s="2"/>
      <x:c r="H132" s="2"/>
      <x:c r="I132" s="2"/>
      <x:c r="J132" s="2"/>
      <x:c r="K132" s="2"/>
    </x:row>
    <x:row r="133">
      <x:c r="A133" s="1"/>
      <x:c r="B133" s="1"/>
      <x:c r="C133" s="2"/>
      <x:c r="D133" s="2"/>
      <x:c r="E133" s="2"/>
      <x:c r="F133" s="2"/>
      <x:c r="G133" s="2"/>
      <x:c r="H133" s="2"/>
      <x:c r="I133" s="2"/>
      <x:c r="J133" s="2"/>
      <x:c r="K133" s="2"/>
    </x:row>
    <x:row r="134">
      <x:c r="A134" s="1"/>
      <x:c r="B134" s="1"/>
      <x:c r="C134" s="2"/>
      <x:c r="D134" s="2"/>
      <x:c r="E134" s="2"/>
      <x:c r="F134" s="2"/>
      <x:c r="G134" s="2"/>
      <x:c r="H134" s="2"/>
      <x:c r="I134" s="2"/>
      <x:c r="J134" s="2"/>
      <x:c r="K134" s="2"/>
    </x:row>
    <x:row r="135">
      <x:c r="A135" s="1"/>
      <x:c r="B135" s="1"/>
      <x:c r="C135" s="2"/>
      <x:c r="D135" s="2"/>
      <x:c r="E135" s="2"/>
      <x:c r="F135" s="2"/>
      <x:c r="G135" s="2"/>
      <x:c r="H135" s="2"/>
      <x:c r="I135" s="2"/>
      <x:c r="J135" s="2"/>
      <x:c r="K135" s="2"/>
    </x:row>
    <x:row r="136">
      <x:c r="A136" s="1"/>
      <x:c r="B136" s="1"/>
      <x:c r="C136" s="2"/>
      <x:c r="D136" s="2"/>
      <x:c r="E136" s="2"/>
      <x:c r="F136" s="2"/>
      <x:c r="G136" s="2"/>
      <x:c r="H136" s="2"/>
      <x:c r="I136" s="2"/>
      <x:c r="J136" s="2"/>
      <x:c r="K136" s="2"/>
    </x:row>
    <x:row r="137">
      <x:c r="A137" s="1"/>
      <x:c r="B137" s="1"/>
      <x:c r="C137" s="2"/>
      <x:c r="D137" s="2"/>
      <x:c r="E137" s="2"/>
      <x:c r="F137" s="2"/>
      <x:c r="G137" s="2"/>
      <x:c r="H137" s="2"/>
      <x:c r="I137" s="2"/>
      <x:c r="J137" s="2"/>
      <x:c r="K137" s="2"/>
    </x:row>
    <x:row r="138">
      <x:c r="A138" s="1"/>
      <x:c r="B138" s="1"/>
      <x:c r="C138" s="2"/>
      <x:c r="D138" s="2"/>
      <x:c r="E138" s="2"/>
      <x:c r="F138" s="2"/>
      <x:c r="G138" s="2"/>
      <x:c r="H138" s="2"/>
      <x:c r="I138" s="2"/>
      <x:c r="J138" s="2"/>
      <x:c r="K138" s="2"/>
    </x:row>
    <x:row r="139">
      <x:c r="A139" s="1"/>
      <x:c r="B139" s="1"/>
      <x:c r="C139" s="2"/>
      <x:c r="D139" s="2"/>
      <x:c r="E139" s="2"/>
      <x:c r="F139" s="2"/>
      <x:c r="G139" s="2"/>
      <x:c r="H139" s="2"/>
      <x:c r="I139" s="2"/>
      <x:c r="J139" s="2"/>
      <x:c r="K139" s="2"/>
    </x:row>
    <x:row r="140">
      <x:c r="A140" s="1"/>
      <x:c r="B140" s="1"/>
      <x:c r="C140" s="2"/>
      <x:c r="D140" s="2"/>
      <x:c r="E140" s="2"/>
      <x:c r="F140" s="2"/>
      <x:c r="G140" s="2"/>
      <x:c r="H140" s="2"/>
      <x:c r="I140" s="2"/>
      <x:c r="J140" s="2"/>
      <x:c r="K140" s="2"/>
    </x:row>
    <x:row r="141">
      <x:c r="A141" s="1"/>
      <x:c r="B141" s="1"/>
      <x:c r="C141" s="2"/>
      <x:c r="D141" s="2"/>
      <x:c r="E141" s="2"/>
      <x:c r="F141" s="2"/>
      <x:c r="G141" s="2"/>
      <x:c r="H141" s="2"/>
      <x:c r="I141" s="2"/>
      <x:c r="J141" s="2"/>
      <x:c r="K141" s="2"/>
    </x:row>
    <x:row r="142">
      <x:c r="A142" s="1"/>
      <x:c r="B142" s="1"/>
      <x:c r="C142" s="2"/>
      <x:c r="D142" s="2"/>
      <x:c r="E142" s="2"/>
      <x:c r="F142" s="2"/>
      <x:c r="G142" s="2"/>
      <x:c r="H142" s="2"/>
      <x:c r="I142" s="2"/>
      <x:c r="J142" s="2"/>
      <x:c r="K142" s="2"/>
    </x:row>
    <x:row r="143">
      <x:c r="A143" s="1"/>
      <x:c r="B143" s="1"/>
      <x:c r="C143" s="2"/>
      <x:c r="D143" s="2"/>
      <x:c r="E143" s="2"/>
      <x:c r="F143" s="2"/>
      <x:c r="G143" s="2"/>
      <x:c r="H143" s="2"/>
      <x:c r="I143" s="2"/>
      <x:c r="J143" s="2"/>
      <x:c r="K143" s="2"/>
    </x:row>
    <x:row r="144">
      <x:c r="A144" s="1"/>
      <x:c r="B144" s="1"/>
      <x:c r="C144" s="2"/>
      <x:c r="D144" s="2"/>
      <x:c r="E144" s="2"/>
      <x:c r="F144" s="2"/>
      <x:c r="G144" s="2"/>
      <x:c r="H144" s="2"/>
      <x:c r="I144" s="2"/>
      <x:c r="J144" s="2"/>
      <x:c r="K144" s="2"/>
    </x:row>
    <x:row r="145">
      <x:c r="A145" s="1"/>
      <x:c r="B145" s="1"/>
      <x:c r="C145" s="2"/>
      <x:c r="D145" s="2"/>
      <x:c r="E145" s="2"/>
      <x:c r="F145" s="2"/>
      <x:c r="G145" s="2"/>
      <x:c r="H145" s="2"/>
      <x:c r="I145" s="2"/>
      <x:c r="J145" s="2"/>
      <x:c r="K145" s="2"/>
    </x:row>
    <x:row r="146">
      <x:c r="A146" s="1"/>
      <x:c r="B146" s="1"/>
      <x:c r="C146" s="2"/>
      <x:c r="D146" s="2"/>
      <x:c r="E146" s="2"/>
      <x:c r="F146" s="2"/>
      <x:c r="G146" s="2"/>
      <x:c r="H146" s="2"/>
      <x:c r="I146" s="2"/>
      <x:c r="J146" s="2"/>
      <x:c r="K146" s="2"/>
    </x:row>
    <x:row r="147">
      <x:c r="A147" s="1"/>
      <x:c r="B147" s="1"/>
      <x:c r="C147" s="2"/>
      <x:c r="D147" s="2"/>
      <x:c r="E147" s="2"/>
      <x:c r="F147" s="2"/>
      <x:c r="G147" s="2"/>
      <x:c r="H147" s="2"/>
      <x:c r="I147" s="2"/>
      <x:c r="J147" s="2"/>
      <x:c r="K147" s="2"/>
    </x:row>
    <x:row r="148">
      <x:c r="A148" s="1"/>
      <x:c r="B148" s="1"/>
      <x:c r="C148" s="2"/>
      <x:c r="D148" s="2"/>
      <x:c r="E148" s="2"/>
      <x:c r="F148" s="2"/>
      <x:c r="G148" s="2"/>
      <x:c r="H148" s="2"/>
      <x:c r="I148" s="2"/>
      <x:c r="J148" s="2"/>
      <x:c r="K148" s="2"/>
    </x:row>
    <x:row r="149">
      <x:c r="A149" s="1"/>
      <x:c r="B149" s="1"/>
      <x:c r="C149" s="2"/>
      <x:c r="D149" s="2"/>
      <x:c r="E149" s="2"/>
      <x:c r="F149" s="2"/>
      <x:c r="G149" s="2"/>
      <x:c r="H149" s="2"/>
      <x:c r="I149" s="2"/>
      <x:c r="J149" s="2"/>
      <x:c r="K149" s="2"/>
    </x:row>
    <x:row r="150">
      <x:c r="A150" s="1"/>
      <x:c r="B150" s="1"/>
      <x:c r="C150" s="2"/>
      <x:c r="D150" s="2"/>
      <x:c r="E150" s="2"/>
      <x:c r="F150" s="2"/>
      <x:c r="G150" s="2"/>
      <x:c r="H150" s="2"/>
      <x:c r="I150" s="2"/>
      <x:c r="J150" s="2"/>
      <x:c r="K150" s="2"/>
    </x:row>
    <x:row r="151">
      <x:c r="A151" s="1"/>
      <x:c r="B151" s="1"/>
      <x:c r="C151" s="2"/>
      <x:c r="D151" s="2"/>
      <x:c r="E151" s="2"/>
      <x:c r="F151" s="2"/>
      <x:c r="G151" s="2"/>
      <x:c r="H151" s="2"/>
      <x:c r="I151" s="2"/>
      <x:c r="J151" s="2"/>
      <x:c r="K151" s="2"/>
    </x:row>
    <x:row r="152">
      <x:c r="A152" s="1"/>
      <x:c r="B152" s="1"/>
      <x:c r="C152" s="2"/>
      <x:c r="D152" s="2"/>
      <x:c r="E152" s="2"/>
      <x:c r="F152" s="2"/>
      <x:c r="G152" s="2"/>
      <x:c r="H152" s="2"/>
      <x:c r="I152" s="2"/>
      <x:c r="J152" s="2"/>
      <x:c r="K152" s="2"/>
    </x:row>
    <x:row r="153">
      <x:c r="A153" s="1"/>
      <x:c r="B153" s="1"/>
      <x:c r="C153" s="2"/>
      <x:c r="D153" s="2"/>
      <x:c r="E153" s="2"/>
      <x:c r="F153" s="2"/>
      <x:c r="G153" s="2"/>
      <x:c r="H153" s="2"/>
      <x:c r="I153" s="2"/>
      <x:c r="J153" s="2"/>
      <x:c r="K153" s="2"/>
    </x:row>
    <x:row r="154">
      <x:c r="A154" s="1"/>
      <x:c r="B154" s="1"/>
      <x:c r="C154" s="2"/>
      <x:c r="D154" s="2"/>
      <x:c r="E154" s="2"/>
      <x:c r="F154" s="2"/>
      <x:c r="G154" s="2"/>
      <x:c r="H154" s="2"/>
      <x:c r="I154" s="2"/>
      <x:c r="J154" s="2"/>
      <x:c r="K154" s="2"/>
    </x:row>
    <x:row r="155">
      <x:c r="A155" s="1"/>
      <x:c r="B155" s="1"/>
      <x:c r="C155" s="2"/>
      <x:c r="D155" s="2"/>
      <x:c r="E155" s="2"/>
      <x:c r="F155" s="2"/>
      <x:c r="G155" s="2"/>
      <x:c r="H155" s="2"/>
      <x:c r="I155" s="2"/>
      <x:c r="J155" s="2"/>
      <x:c r="K155" s="2"/>
    </x:row>
    <x:row r="156">
      <x:c r="A156" s="1"/>
      <x:c r="B156" s="1"/>
      <x:c r="C156" s="2"/>
      <x:c r="D156" s="2"/>
      <x:c r="E156" s="2"/>
      <x:c r="F156" s="2"/>
      <x:c r="G156" s="2"/>
      <x:c r="H156" s="2"/>
      <x:c r="I156" s="2"/>
      <x:c r="J156" s="2"/>
      <x:c r="K156" s="2"/>
    </x:row>
    <x:row r="157">
      <x:c r="A157" s="1"/>
      <x:c r="B157" s="1"/>
      <x:c r="C157" s="2"/>
      <x:c r="D157" s="2"/>
      <x:c r="E157" s="2"/>
      <x:c r="F157" s="2"/>
      <x:c r="G157" s="2"/>
      <x:c r="H157" s="2"/>
      <x:c r="I157" s="2"/>
      <x:c r="J157" s="2"/>
      <x:c r="K157" s="2"/>
    </x:row>
    <x:row r="158">
      <x:c r="A158" s="1"/>
      <x:c r="B158" s="1"/>
      <x:c r="C158" s="2"/>
      <x:c r="D158" s="2"/>
      <x:c r="E158" s="2"/>
      <x:c r="F158" s="2"/>
      <x:c r="G158" s="2"/>
      <x:c r="H158" s="2"/>
      <x:c r="I158" s="2"/>
      <x:c r="J158" s="2"/>
      <x:c r="K158" s="2"/>
    </x:row>
    <x:row r="159">
      <x:c r="A159" s="1"/>
      <x:c r="B159" s="1"/>
      <x:c r="C159" s="2"/>
      <x:c r="D159" s="2"/>
      <x:c r="E159" s="2"/>
      <x:c r="F159" s="2"/>
      <x:c r="G159" s="2"/>
      <x:c r="H159" s="2"/>
      <x:c r="I159" s="2"/>
      <x:c r="J159" s="2"/>
      <x:c r="K159" s="2"/>
    </x:row>
    <x:row r="160">
      <x:c r="A160" s="1"/>
      <x:c r="B160" s="1"/>
      <x:c r="C160" s="2"/>
      <x:c r="D160" s="2"/>
      <x:c r="E160" s="2"/>
      <x:c r="F160" s="2"/>
      <x:c r="G160" s="2"/>
      <x:c r="H160" s="2"/>
      <x:c r="I160" s="2"/>
      <x:c r="J160" s="2"/>
      <x:c r="K160" s="2"/>
    </x:row>
    <x:row r="161">
      <x:c r="A161" s="1"/>
      <x:c r="B161" s="1"/>
      <x:c r="C161" s="2"/>
      <x:c r="D161" s="2"/>
      <x:c r="E161" s="2"/>
      <x:c r="F161" s="2"/>
      <x:c r="G161" s="2"/>
      <x:c r="H161" s="2"/>
      <x:c r="I161" s="2"/>
      <x:c r="J161" s="2"/>
      <x:c r="K161" s="2"/>
    </x:row>
    <x:row r="162">
      <x:c r="A162" s="1"/>
      <x:c r="B162" s="1"/>
      <x:c r="C162" s="2"/>
      <x:c r="D162" s="2"/>
      <x:c r="E162" s="2"/>
      <x:c r="F162" s="2"/>
      <x:c r="G162" s="2"/>
      <x:c r="H162" s="2"/>
      <x:c r="I162" s="2"/>
      <x:c r="J162" s="2"/>
      <x:c r="K162" s="2"/>
    </x:row>
    <x:row r="163">
      <x:c r="A163" s="1"/>
      <x:c r="B163" s="1"/>
      <x:c r="C163" s="2"/>
      <x:c r="D163" s="2"/>
      <x:c r="E163" s="2"/>
      <x:c r="F163" s="2"/>
      <x:c r="G163" s="2"/>
      <x:c r="H163" s="2"/>
      <x:c r="I163" s="2"/>
      <x:c r="J163" s="2"/>
      <x:c r="K163" s="2"/>
    </x:row>
    <x:row r="164">
      <x:c r="A164" s="1"/>
      <x:c r="B164" s="1"/>
      <x:c r="C164" s="2"/>
      <x:c r="D164" s="2"/>
      <x:c r="E164" s="2"/>
      <x:c r="F164" s="2"/>
      <x:c r="G164" s="2"/>
      <x:c r="H164" s="2"/>
      <x:c r="I164" s="2"/>
      <x:c r="J164" s="2"/>
      <x:c r="K164" s="2"/>
    </x:row>
    <x:row r="165">
      <x:c r="A165" s="1"/>
      <x:c r="B165" s="1"/>
      <x:c r="C165" s="2"/>
      <x:c r="D165" s="2"/>
      <x:c r="E165" s="2"/>
      <x:c r="F165" s="2"/>
      <x:c r="G165" s="2"/>
      <x:c r="H165" s="2"/>
      <x:c r="I165" s="2"/>
      <x:c r="J165" s="2"/>
      <x:c r="K165" s="2"/>
    </x:row>
    <x:row r="166">
      <x:c r="A166" s="1"/>
      <x:c r="B166" s="1"/>
      <x:c r="C166" s="2"/>
      <x:c r="D166" s="2"/>
      <x:c r="E166" s="2"/>
      <x:c r="F166" s="2"/>
      <x:c r="G166" s="2"/>
      <x:c r="H166" s="2"/>
      <x:c r="I166" s="2"/>
      <x:c r="J166" s="2"/>
      <x:c r="K166" s="2"/>
    </x:row>
    <x:row r="167">
      <x:c r="A167" s="1"/>
      <x:c r="B167" s="1"/>
      <x:c r="C167" s="2"/>
      <x:c r="D167" s="2"/>
      <x:c r="E167" s="2"/>
      <x:c r="F167" s="2"/>
      <x:c r="G167" s="2"/>
      <x:c r="H167" s="2"/>
      <x:c r="I167" s="2"/>
      <x:c r="J167" s="2"/>
      <x:c r="K167" s="2"/>
    </x:row>
    <x:row r="168">
      <x:c r="A168" s="1"/>
      <x:c r="B168" s="1"/>
      <x:c r="C168" s="2"/>
      <x:c r="D168" s="2"/>
      <x:c r="E168" s="2"/>
      <x:c r="F168" s="2"/>
      <x:c r="G168" s="2"/>
      <x:c r="H168" s="2"/>
      <x:c r="I168" s="2"/>
      <x:c r="J168" s="2"/>
      <x:c r="K168" s="2"/>
    </x:row>
    <x:row r="169">
      <x:c r="A169" s="1"/>
      <x:c r="B169" s="1"/>
      <x:c r="C169" s="2"/>
      <x:c r="D169" s="2"/>
      <x:c r="E169" s="2"/>
      <x:c r="F169" s="2"/>
      <x:c r="G169" s="2"/>
      <x:c r="H169" s="2"/>
      <x:c r="I169" s="2"/>
      <x:c r="J169" s="2"/>
      <x:c r="K169" s="2"/>
    </x:row>
    <x:row r="170">
      <x:c r="A170" s="1"/>
      <x:c r="B170" s="1"/>
      <x:c r="C170" s="2"/>
      <x:c r="D170" s="2"/>
      <x:c r="E170" s="2"/>
      <x:c r="F170" s="2"/>
      <x:c r="G170" s="2"/>
      <x:c r="H170" s="2"/>
      <x:c r="I170" s="2"/>
      <x:c r="J170" s="2"/>
      <x:c r="K170" s="2"/>
    </x:row>
    <x:row r="171">
      <x:c r="A171" s="1"/>
      <x:c r="B171" s="1"/>
      <x:c r="C171" s="2"/>
      <x:c r="D171" s="2"/>
      <x:c r="E171" s="2"/>
      <x:c r="F171" s="2"/>
      <x:c r="G171" s="2"/>
      <x:c r="H171" s="2"/>
      <x:c r="I171" s="2"/>
      <x:c r="J171" s="2"/>
      <x:c r="K171" s="2"/>
    </x:row>
    <x:row r="172">
      <x:c r="A172" s="1"/>
      <x:c r="B172" s="1"/>
      <x:c r="C172" s="2"/>
      <x:c r="D172" s="2"/>
      <x:c r="E172" s="2"/>
      <x:c r="F172" s="2"/>
      <x:c r="G172" s="2"/>
      <x:c r="H172" s="2"/>
      <x:c r="I172" s="2"/>
      <x:c r="J172" s="2"/>
      <x:c r="K172" s="2"/>
    </x:row>
    <x:row r="173">
      <x:c r="A173" s="1"/>
      <x:c r="B173" s="1"/>
      <x:c r="C173" s="2"/>
      <x:c r="D173" s="2"/>
      <x:c r="E173" s="2"/>
      <x:c r="F173" s="2"/>
      <x:c r="G173" s="2"/>
      <x:c r="H173" s="2"/>
      <x:c r="I173" s="2"/>
      <x:c r="J173" s="2"/>
      <x:c r="K173" s="2"/>
    </x:row>
    <x:row r="174">
      <x:c r="A174" s="1"/>
      <x:c r="B174" s="1"/>
      <x:c r="C174" s="2"/>
      <x:c r="D174" s="2"/>
      <x:c r="E174" s="2"/>
      <x:c r="F174" s="2"/>
      <x:c r="G174" s="2"/>
      <x:c r="H174" s="2"/>
      <x:c r="I174" s="2"/>
      <x:c r="J174" s="2"/>
      <x:c r="K174" s="2"/>
    </x:row>
    <x:row r="175">
      <x:c r="A175" s="1"/>
      <x:c r="B175" s="1"/>
      <x:c r="C175" s="2"/>
      <x:c r="D175" s="2"/>
      <x:c r="E175" s="2"/>
      <x:c r="F175" s="2"/>
      <x:c r="G175" s="2"/>
      <x:c r="H175" s="2"/>
      <x:c r="I175" s="2"/>
      <x:c r="J175" s="2"/>
      <x:c r="K175" s="2"/>
    </x:row>
    <x:row r="176">
      <x:c r="A176" s="1"/>
      <x:c r="B176" s="1"/>
      <x:c r="C176" s="2"/>
      <x:c r="D176" s="2"/>
      <x:c r="E176" s="2"/>
      <x:c r="F176" s="2"/>
      <x:c r="G176" s="2"/>
      <x:c r="H176" s="2"/>
      <x:c r="I176" s="2"/>
      <x:c r="J176" s="2"/>
      <x:c r="K176" s="2"/>
    </x:row>
    <x:row r="177">
      <x:c r="A177" s="1"/>
      <x:c r="B177" s="1"/>
      <x:c r="C177" s="2"/>
      <x:c r="D177" s="2"/>
      <x:c r="E177" s="2"/>
      <x:c r="F177" s="2"/>
      <x:c r="G177" s="2"/>
      <x:c r="H177" s="2"/>
      <x:c r="I177" s="2"/>
      <x:c r="J177" s="2"/>
      <x:c r="K177" s="2"/>
    </x:row>
    <x:row r="178">
      <x:c r="A178" s="1"/>
      <x:c r="B178" s="1"/>
      <x:c r="C178" s="2"/>
      <x:c r="D178" s="2"/>
      <x:c r="E178" s="2"/>
      <x:c r="F178" s="2"/>
      <x:c r="G178" s="2"/>
      <x:c r="H178" s="2"/>
      <x:c r="I178" s="2"/>
      <x:c r="J178" s="2"/>
      <x:c r="K178" s="2"/>
    </x:row>
    <x:row r="179">
      <x:c r="A179" s="1"/>
      <x:c r="B179" s="1"/>
      <x:c r="C179" s="2"/>
      <x:c r="D179" s="2"/>
      <x:c r="E179" s="2"/>
      <x:c r="F179" s="2"/>
      <x:c r="G179" s="2"/>
      <x:c r="H179" s="2"/>
      <x:c r="I179" s="2"/>
      <x:c r="J179" s="2"/>
      <x:c r="K179" s="2"/>
    </x:row>
    <x:row r="180">
      <x:c r="A180" s="1"/>
      <x:c r="B180" s="1"/>
      <x:c r="C180" s="2"/>
      <x:c r="D180" s="2"/>
      <x:c r="E180" s="2"/>
      <x:c r="F180" s="2"/>
      <x:c r="G180" s="2"/>
      <x:c r="H180" s="2"/>
      <x:c r="I180" s="2"/>
      <x:c r="J180" s="2"/>
      <x:c r="K180" s="2"/>
    </x:row>
  </x:sheetData>
  <x:mergeCells>
    <x:mergeCell ref="C2:K2"/>
    <x:mergeCell ref="C5:K5"/>
    <x:mergeCell ref="C65:K65"/>
    <x:mergeCell ref="C66:K66"/>
    <x:mergeCell ref="C68:K68"/>
    <x:mergeCell ref="C69:K69"/>
    <x:mergeCell ref="C70:K70"/>
    <x:mergeCell ref="C71:K71"/>
    <x:mergeCell ref="C72:K72"/>
    <x:mergeCell ref="C73:K73"/>
    <x:mergeCell ref="C74:K74"/>
    <x:mergeCell ref="C75:K75"/>
    <x:mergeCell ref="C76:K76"/>
    <x:mergeCell ref="C77:K77"/>
    <x:mergeCell ref="C78:K78"/>
    <x:mergeCell ref="C79:K79"/>
    <x:mergeCell ref="C80:K80"/>
    <x:mergeCell ref="C81:K81"/>
    <x:mergeCell ref="C82:K82"/>
    <x:mergeCell ref="C83:K83"/>
    <x:mergeCell ref="C84:K84"/>
    <x:mergeCell ref="C85:K85"/>
    <x:mergeCell ref="C86:K86"/>
    <x:mergeCell ref="C87:K87"/>
    <x:mergeCell ref="C88:K88"/>
    <x:mergeCell ref="C89:K89"/>
    <x:mergeCell ref="C100:K100"/>
    <x:mergeCell ref="C101:K101"/>
    <x:mergeCell ref="C102:K102"/>
    <x:mergeCell ref="C103:K103"/>
    <x:mergeCell ref="C104:K104"/>
    <x:mergeCell ref="C105:K105"/>
    <x:mergeCell ref="C106:K106"/>
    <x:mergeCell ref="C108:K108"/>
    <x:mergeCell ref="C109:K109"/>
    <x:mergeCell ref="C121:K121"/>
    <x:mergeCell ref="C122:K122"/>
    <x:mergeCell ref="C123:K123"/>
    <x:mergeCell ref="C124:K124"/>
  </x:mergeCells>
  <x:conditionalFormatting sqref="I62:I62">
    <x:cfRule type="cellIs" dxfId="7" priority="1" operator="notEqual">
      <x:formula>0</x:formula>
    </x:cfRule>
  </x:conditionalFormatting>
  <x:pageMargins left="0.7" right="0.7" top="0.75" bottom="0.75" header="0.3" footer="0.3"/>
</x:worksheet>
</file>